
<file path=[Content_Types].xml><?xml version="1.0" encoding="utf-8"?>
<Types xmlns="http://schemas.openxmlformats.org/package/2006/content-types">
  <Default Extension="vml" ContentType="application/vnd.openxmlformats-officedocument.vmlDrawing"/>
  <Default Extension="bin" ContentType="application/vnd.openxmlformats-officedocument.oleObject"/>
  <Default Extension="emf" ContentType="image/x-e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omments1.xml" ContentType="application/vnd.openxmlformats-officedocument.spreadsheetml.comments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GR&amp;R（msa）" sheetId="13" r:id="rId1"/>
  </sheets>
  <calcPr calcId="144525"/>
</workbook>
</file>

<file path=xl/comments1.xml><?xml version="1.0" encoding="utf-8"?>
<comments xmlns="http://schemas.openxmlformats.org/spreadsheetml/2006/main">
  <authors>
    <author>作者</author>
  </authors>
  <commentList>
    <comment ref="P4" authorId="0">
      <text>
        <r>
          <rPr>
            <b/>
            <sz val="8"/>
            <rFont val="宋体"/>
            <charset val="134"/>
          </rPr>
          <t>Dali:</t>
        </r>
        <r>
          <rPr>
            <sz val="8"/>
            <rFont val="宋体"/>
            <charset val="134"/>
          </rPr>
          <t xml:space="preserve">
 报告编号的一般规则为：仪器管理编号+年月日，如：QAC-001/20090101</t>
        </r>
      </text>
    </comment>
    <comment ref="M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输入1、过程变差σ
    2、过程能力PP</t>
        </r>
      </text>
    </comment>
    <comment ref="P83" authorId="0">
      <text>
        <r>
          <rPr>
            <b/>
            <sz val="8"/>
            <rFont val="宋体"/>
            <charset val="134"/>
          </rPr>
          <t>Dali:</t>
        </r>
        <r>
          <rPr>
            <sz val="8"/>
            <rFont val="宋体"/>
            <charset val="134"/>
          </rPr>
          <t xml:space="preserve">
 报告编号的一般规则为：仪器管理编号+年月日，如：QAC-001/20090101。</t>
        </r>
      </text>
    </comment>
    <comment ref="M95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一般，过程PPK小于1.0使用公差分析。</t>
        </r>
      </text>
    </comment>
    <comment ref="G113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1、基于零件变差分析选择A公式——参看MSA手册第四版，中文版112-113页。
2、基于过程标准差、过程能力、公差选择B公式。中文版112-113页。
3、参考Mintab14版，PV的计算结果用A公式
4、所有计算，默认为------公式A</t>
        </r>
      </text>
    </comment>
    <comment ref="P169" authorId="0">
      <text>
        <r>
          <rPr>
            <b/>
            <sz val="8"/>
            <rFont val="宋体"/>
            <charset val="134"/>
          </rPr>
          <t>Dali:</t>
        </r>
        <r>
          <rPr>
            <sz val="8"/>
            <rFont val="宋体"/>
            <charset val="134"/>
          </rPr>
          <t xml:space="preserve">
 报告编号的一般规则为：仪器管理编号+年月日，如：QAC-001/20090101。</t>
        </r>
      </text>
    </comment>
    <comment ref="E181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P值小于设定值=With
P值大于设定值=Without</t>
        </r>
      </text>
    </comment>
    <comment ref="K199" authorId="0">
      <text>
        <r>
          <rPr>
            <b/>
            <sz val="9"/>
            <rFont val="宋体"/>
            <charset val="134"/>
          </rPr>
          <t>作者:</t>
        </r>
        <r>
          <rPr>
            <sz val="9"/>
            <rFont val="宋体"/>
            <charset val="134"/>
          </rPr>
          <t xml:space="preserve">
一般设定为显著P值分界点为0.25，可参看Mintab14版，可手动修改。</t>
        </r>
      </text>
    </comment>
  </commentList>
</comments>
</file>

<file path=xl/sharedStrings.xml><?xml version="1.0" encoding="utf-8"?>
<sst xmlns="http://schemas.openxmlformats.org/spreadsheetml/2006/main" count="185">
  <si>
    <r>
      <rPr>
        <b/>
        <sz val="8"/>
        <rFont val="Arial"/>
        <charset val="134"/>
      </rPr>
      <t xml:space="preserve">      </t>
    </r>
    <r>
      <rPr>
        <b/>
        <sz val="8"/>
        <rFont val="宋体"/>
        <charset val="134"/>
      </rPr>
      <t>测量系统分析</t>
    </r>
    <r>
      <rPr>
        <b/>
        <sz val="8"/>
        <rFont val="Arial"/>
        <charset val="134"/>
      </rPr>
      <t xml:space="preserve">MSA  </t>
    </r>
    <r>
      <rPr>
        <b/>
        <i/>
        <sz val="8"/>
        <rFont val="Arial"/>
        <charset val="134"/>
      </rPr>
      <t>GR&amp;R---</t>
    </r>
    <r>
      <rPr>
        <b/>
        <i/>
        <sz val="8"/>
        <rFont val="宋体"/>
        <charset val="134"/>
      </rPr>
      <t>数据记录表</t>
    </r>
    <r>
      <rPr>
        <b/>
        <i/>
        <sz val="8"/>
        <rFont val="Arial"/>
        <charset val="134"/>
      </rPr>
      <t xml:space="preserve"> Data Worksheet</t>
    </r>
  </si>
  <si>
    <r>
      <rPr>
        <b/>
        <sz val="8"/>
        <rFont val="宋体"/>
        <charset val="134"/>
      </rPr>
      <t>报告编号</t>
    </r>
    <r>
      <rPr>
        <b/>
        <sz val="8"/>
        <rFont val="Arial"/>
        <charset val="134"/>
      </rPr>
      <t>Report NO.</t>
    </r>
  </si>
  <si>
    <r>
      <rPr>
        <sz val="8"/>
        <rFont val="宋体"/>
        <charset val="134"/>
      </rPr>
      <t xml:space="preserve">量具名称
</t>
    </r>
    <r>
      <rPr>
        <sz val="8"/>
        <rFont val="Arial"/>
        <charset val="134"/>
      </rPr>
      <t>Equipment Name</t>
    </r>
  </si>
  <si>
    <r>
      <rPr>
        <sz val="8"/>
        <rFont val="宋体"/>
        <charset val="134"/>
      </rPr>
      <t xml:space="preserve">产品类型
</t>
    </r>
    <r>
      <rPr>
        <sz val="8"/>
        <rFont val="Arial"/>
        <charset val="134"/>
      </rPr>
      <t>Description</t>
    </r>
  </si>
  <si>
    <r>
      <rPr>
        <sz val="8"/>
        <rFont val="宋体"/>
        <charset val="134"/>
      </rPr>
      <t>测量人员</t>
    </r>
    <r>
      <rPr>
        <sz val="8"/>
        <rFont val="Arial"/>
        <charset val="134"/>
      </rPr>
      <t xml:space="preserve">
Operator</t>
    </r>
    <r>
      <rPr>
        <sz val="8"/>
        <rFont val="宋体"/>
        <charset val="134"/>
      </rPr>
      <t>Ａ</t>
    </r>
  </si>
  <si>
    <r>
      <rPr>
        <sz val="8"/>
        <rFont val="宋体"/>
        <charset val="134"/>
      </rPr>
      <t xml:space="preserve">测试日期
</t>
    </r>
    <r>
      <rPr>
        <sz val="8"/>
        <rFont val="Arial"/>
        <charset val="134"/>
      </rPr>
      <t>Test Tate</t>
    </r>
  </si>
  <si>
    <r>
      <rPr>
        <sz val="8"/>
        <rFont val="宋体"/>
        <charset val="134"/>
      </rPr>
      <t xml:space="preserve">量具编号
</t>
    </r>
    <r>
      <rPr>
        <sz val="8"/>
        <rFont val="Arial"/>
        <charset val="134"/>
      </rPr>
      <t>Equipment NO.</t>
    </r>
  </si>
  <si>
    <t>基件编号
P/N</t>
  </si>
  <si>
    <r>
      <rPr>
        <sz val="8"/>
        <rFont val="宋体"/>
        <charset val="134"/>
      </rPr>
      <t>测量人员</t>
    </r>
    <r>
      <rPr>
        <sz val="8"/>
        <rFont val="Arial"/>
        <charset val="134"/>
      </rPr>
      <t xml:space="preserve">
Operator</t>
    </r>
    <r>
      <rPr>
        <sz val="8"/>
        <rFont val="宋体"/>
        <charset val="134"/>
      </rPr>
      <t>Ｂ</t>
    </r>
  </si>
  <si>
    <r>
      <rPr>
        <sz val="8"/>
        <rFont val="宋体"/>
        <charset val="134"/>
      </rPr>
      <t xml:space="preserve">平价人数
</t>
    </r>
    <r>
      <rPr>
        <sz val="8"/>
        <rFont val="Arial"/>
        <charset val="134"/>
      </rPr>
      <t>Appraisers</t>
    </r>
  </si>
  <si>
    <t>参数规格
Dimension</t>
  </si>
  <si>
    <t>规格上限
USL</t>
  </si>
  <si>
    <r>
      <rPr>
        <sz val="8"/>
        <rFont val="宋体"/>
        <charset val="134"/>
      </rPr>
      <t>测量人员</t>
    </r>
    <r>
      <rPr>
        <sz val="8"/>
        <rFont val="Arial"/>
        <charset val="134"/>
      </rPr>
      <t xml:space="preserve">
Operator</t>
    </r>
    <r>
      <rPr>
        <sz val="8"/>
        <rFont val="宋体"/>
        <charset val="134"/>
      </rPr>
      <t>Ｃ</t>
    </r>
  </si>
  <si>
    <r>
      <rPr>
        <sz val="8"/>
        <rFont val="宋体"/>
        <charset val="134"/>
      </rPr>
      <t xml:space="preserve">试验次数
</t>
    </r>
    <r>
      <rPr>
        <sz val="8"/>
        <rFont val="Arial"/>
        <charset val="134"/>
      </rPr>
      <t>Trials</t>
    </r>
  </si>
  <si>
    <r>
      <rPr>
        <sz val="8"/>
        <rFont val="宋体"/>
        <charset val="134"/>
      </rPr>
      <t xml:space="preserve">单位
</t>
    </r>
    <r>
      <rPr>
        <sz val="8"/>
        <rFont val="Arial"/>
        <charset val="134"/>
      </rPr>
      <t>Unit</t>
    </r>
  </si>
  <si>
    <t>MM</t>
  </si>
  <si>
    <t>规格下限
LSL</t>
  </si>
  <si>
    <r>
      <rPr>
        <sz val="8"/>
        <rFont val="宋体"/>
        <charset val="134"/>
      </rPr>
      <t xml:space="preserve">过程变差/过程能力
</t>
    </r>
    <r>
      <rPr>
        <sz val="8"/>
        <rFont val="Arial"/>
        <charset val="134"/>
      </rPr>
      <t>Process Variation(σ/PP)</t>
    </r>
  </si>
  <si>
    <r>
      <rPr>
        <sz val="8"/>
        <rFont val="宋体"/>
        <charset val="134"/>
      </rPr>
      <t>样</t>
    </r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品</t>
    </r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 xml:space="preserve">数
</t>
    </r>
    <r>
      <rPr>
        <sz val="8"/>
        <rFont val="Arial"/>
        <charset val="134"/>
      </rPr>
      <t>Samples</t>
    </r>
  </si>
  <si>
    <r>
      <rPr>
        <sz val="8"/>
        <rFont val="宋体"/>
        <charset val="134"/>
      </rPr>
      <t>分析时机</t>
    </r>
    <r>
      <rPr>
        <sz val="8"/>
        <rFont val="Arial"/>
        <charset val="134"/>
      </rPr>
      <t>Analytical Occasion</t>
    </r>
  </si>
  <si>
    <r>
      <rPr>
        <sz val="8"/>
        <rFont val="宋体"/>
        <charset val="134"/>
      </rPr>
      <t>零件编号</t>
    </r>
    <r>
      <rPr>
        <sz val="8"/>
        <rFont val="Arial"/>
        <charset val="134"/>
      </rPr>
      <t>Parts NO.</t>
    </r>
  </si>
  <si>
    <t>Total</t>
  </si>
  <si>
    <r>
      <rPr>
        <sz val="8"/>
        <rFont val="宋体"/>
        <charset val="134"/>
      </rPr>
      <t>平均值</t>
    </r>
    <r>
      <rPr>
        <sz val="8"/>
        <rFont val="Arial"/>
        <charset val="134"/>
      </rPr>
      <t xml:space="preserve">Average </t>
    </r>
  </si>
  <si>
    <t>1.</t>
  </si>
  <si>
    <t>A</t>
  </si>
  <si>
    <t>2.</t>
  </si>
  <si>
    <t>3.</t>
  </si>
  <si>
    <t>4.</t>
  </si>
  <si>
    <r>
      <rPr>
        <sz val="8"/>
        <rFont val="宋体"/>
        <charset val="134"/>
      </rPr>
      <t>均值</t>
    </r>
    <r>
      <rPr>
        <sz val="8"/>
        <rFont val="Arial"/>
        <charset val="134"/>
      </rPr>
      <t>Mean</t>
    </r>
  </si>
  <si>
    <t>Sum A</t>
  </si>
  <si>
    <t>5.</t>
  </si>
  <si>
    <r>
      <rPr>
        <sz val="8"/>
        <rFont val="Arial"/>
        <charset val="134"/>
      </rPr>
      <t xml:space="preserve"> </t>
    </r>
    <r>
      <rPr>
        <sz val="8"/>
        <rFont val="宋体"/>
        <charset val="134"/>
      </rPr>
      <t>极差</t>
    </r>
    <r>
      <rPr>
        <sz val="8"/>
        <rFont val="Arial"/>
        <charset val="134"/>
      </rPr>
      <t>Range</t>
    </r>
  </si>
  <si>
    <t>6.</t>
  </si>
  <si>
    <t>B</t>
  </si>
  <si>
    <t>7.</t>
  </si>
  <si>
    <t>8.</t>
  </si>
  <si>
    <t>9.</t>
  </si>
  <si>
    <t>Sum B</t>
  </si>
  <si>
    <t>10.</t>
  </si>
  <si>
    <t>11.</t>
  </si>
  <si>
    <t>C</t>
  </si>
  <si>
    <t>12.</t>
  </si>
  <si>
    <t>13.</t>
  </si>
  <si>
    <t>14.</t>
  </si>
  <si>
    <t>Sum C</t>
  </si>
  <si>
    <t>15.</t>
  </si>
  <si>
    <r>
      <rPr>
        <sz val="8"/>
        <rFont val="宋体"/>
        <charset val="134"/>
      </rPr>
      <t xml:space="preserve">零件均值
</t>
    </r>
    <r>
      <rPr>
        <sz val="8"/>
        <rFont val="Arial"/>
        <charset val="134"/>
      </rPr>
      <t>Parts Mean</t>
    </r>
  </si>
  <si>
    <r>
      <rPr>
        <sz val="8"/>
        <rFont val="宋体"/>
        <charset val="134"/>
      </rPr>
      <t>试验次数</t>
    </r>
    <r>
      <rPr>
        <sz val="8"/>
        <rFont val="Arial"/>
        <charset val="134"/>
      </rPr>
      <t>Trials</t>
    </r>
  </si>
  <si>
    <t>D4</t>
  </si>
  <si>
    <t>D3</t>
  </si>
  <si>
    <t>A2</t>
  </si>
  <si>
    <r>
      <rPr>
        <sz val="8"/>
        <rFont val="Arial"/>
        <charset val="134"/>
      </rPr>
      <t xml:space="preserve">    </t>
    </r>
    <r>
      <rPr>
        <sz val="8"/>
        <rFont val="宋体"/>
        <charset val="134"/>
      </rPr>
      <t>注</t>
    </r>
    <r>
      <rPr>
        <sz val="8"/>
        <rFont val="Arial"/>
        <charset val="134"/>
      </rPr>
      <t>:</t>
    </r>
    <r>
      <rPr>
        <sz val="8"/>
        <rFont val="宋体"/>
        <charset val="134"/>
      </rPr>
      <t>当分析结果超出要求后，利用均值极差图分析原因</t>
    </r>
    <r>
      <rPr>
        <sz val="8"/>
        <rFont val="Arial"/>
        <charset val="134"/>
      </rPr>
      <t xml:space="preserve">When analysis result is out of spec,need analyse the root cause by mean and range chart </t>
    </r>
    <r>
      <rPr>
        <sz val="8"/>
        <rFont val="宋体"/>
        <charset val="134"/>
      </rPr>
      <t>。</t>
    </r>
  </si>
  <si>
    <r>
      <rPr>
        <sz val="8"/>
        <rFont val="宋体"/>
        <charset val="134"/>
      </rPr>
      <t xml:space="preserve">均值图
</t>
    </r>
    <r>
      <rPr>
        <sz val="8"/>
        <rFont val="Arial"/>
        <charset val="134"/>
      </rPr>
      <t>mean chart</t>
    </r>
  </si>
  <si>
    <t>UCLx</t>
  </si>
  <si>
    <t>LCLx</t>
  </si>
  <si>
    <r>
      <rPr>
        <sz val="6"/>
        <color theme="1"/>
        <rFont val="Arial"/>
        <charset val="134"/>
      </rPr>
      <t>UCL</t>
    </r>
    <r>
      <rPr>
        <vertAlign val="subscript"/>
        <sz val="6"/>
        <color theme="1"/>
        <rFont val="Arial"/>
        <charset val="134"/>
      </rPr>
      <t>R</t>
    </r>
  </si>
  <si>
    <r>
      <rPr>
        <sz val="6"/>
        <color theme="1"/>
        <rFont val="Arial"/>
        <charset val="134"/>
      </rPr>
      <t>LCL</t>
    </r>
    <r>
      <rPr>
        <vertAlign val="subscript"/>
        <sz val="6"/>
        <color theme="1"/>
        <rFont val="Arial"/>
        <charset val="134"/>
      </rPr>
      <t>R</t>
    </r>
  </si>
  <si>
    <t>公差：</t>
  </si>
  <si>
    <t>6σ</t>
  </si>
  <si>
    <t>pp</t>
  </si>
  <si>
    <t>变差</t>
  </si>
  <si>
    <t>PV</t>
  </si>
  <si>
    <t>TV</t>
  </si>
  <si>
    <t>基于公差base on parts spec</t>
  </si>
  <si>
    <t>%EV</t>
  </si>
  <si>
    <r>
      <rPr>
        <sz val="6"/>
        <color theme="1"/>
        <rFont val="宋体"/>
        <charset val="134"/>
      </rPr>
      <t>基于零件变差</t>
    </r>
    <r>
      <rPr>
        <sz val="6"/>
        <color theme="1"/>
        <rFont val="Arial"/>
        <charset val="134"/>
      </rPr>
      <t>base on parts variation</t>
    </r>
  </si>
  <si>
    <t>%AV</t>
  </si>
  <si>
    <r>
      <rPr>
        <sz val="6"/>
        <color theme="1"/>
        <rFont val="宋体"/>
        <charset val="134"/>
      </rPr>
      <t>基于过程变差</t>
    </r>
    <r>
      <rPr>
        <sz val="6"/>
        <color theme="1"/>
        <rFont val="Arial"/>
        <charset val="134"/>
      </rPr>
      <t>base on process variation</t>
    </r>
  </si>
  <si>
    <t>%RR</t>
  </si>
  <si>
    <t>基于过程能力Base on process PP</t>
  </si>
  <si>
    <t>%PV</t>
  </si>
  <si>
    <r>
      <rPr>
        <sz val="6"/>
        <color theme="1"/>
        <rFont val="宋体"/>
        <charset val="134"/>
      </rPr>
      <t>公式</t>
    </r>
    <r>
      <rPr>
        <sz val="6"/>
        <color theme="1"/>
        <rFont val="Arial"/>
        <charset val="134"/>
      </rPr>
      <t>A Formula A</t>
    </r>
  </si>
  <si>
    <t>ndc</t>
  </si>
  <si>
    <r>
      <rPr>
        <sz val="6"/>
        <color theme="1"/>
        <rFont val="宋体"/>
        <charset val="134"/>
      </rPr>
      <t>公式</t>
    </r>
    <r>
      <rPr>
        <sz val="6"/>
        <color theme="1"/>
        <rFont val="Arial"/>
        <charset val="134"/>
      </rPr>
      <t>B Formula B</t>
    </r>
  </si>
  <si>
    <t>X^2/nkr</t>
  </si>
  <si>
    <t>sumSQ(sum(men))/nr</t>
  </si>
  <si>
    <t>SUMSQ(sum(1-10part))/kr</t>
  </si>
  <si>
    <r>
      <rPr>
        <sz val="8"/>
        <rFont val="宋体"/>
        <charset val="134"/>
      </rPr>
      <t xml:space="preserve">极差图
</t>
    </r>
    <r>
      <rPr>
        <sz val="8"/>
        <rFont val="Arial"/>
        <charset val="134"/>
      </rPr>
      <t>Range chart</t>
    </r>
  </si>
  <si>
    <t>SUMSQ(sum(men-part))/r</t>
  </si>
  <si>
    <t>sumSQ(all)</t>
  </si>
  <si>
    <t>n=part  k=men r=time</t>
  </si>
  <si>
    <t>ANOVA Table With Operator*Part Interaction</t>
  </si>
  <si>
    <t>ANOVA Table Without Operator*Part Interaction</t>
  </si>
  <si>
    <t>Source</t>
  </si>
  <si>
    <t>DF</t>
  </si>
  <si>
    <t>SS</t>
  </si>
  <si>
    <t>MS</t>
  </si>
  <si>
    <t>F</t>
  </si>
  <si>
    <t>P</t>
  </si>
  <si>
    <t>Parts</t>
  </si>
  <si>
    <t>Operators</t>
  </si>
  <si>
    <t>Operators*Part</t>
  </si>
  <si>
    <t>Repeatability</t>
  </si>
  <si>
    <t>Gauge R&amp;R With Operator*Part Interaction</t>
  </si>
  <si>
    <t>Gauge R&amp;R Without Operator*Part Interaction</t>
  </si>
  <si>
    <t>VarComp</t>
  </si>
  <si>
    <t>Stdev</t>
  </si>
  <si>
    <t>%Contribution</t>
  </si>
  <si>
    <t>%TV</t>
  </si>
  <si>
    <t>%Tolerance</t>
  </si>
  <si>
    <t>Total Gauge R&amp;R</t>
  </si>
  <si>
    <t xml:space="preserve">     Repeatability</t>
  </si>
  <si>
    <t xml:space="preserve">     Reproducibility</t>
  </si>
  <si>
    <t xml:space="preserve">          Operator</t>
  </si>
  <si>
    <t>Part - To - Part</t>
  </si>
  <si>
    <t>Total Variation</t>
  </si>
  <si>
    <r>
      <rPr>
        <b/>
        <sz val="8"/>
        <rFont val="Arial"/>
        <charset val="134"/>
      </rPr>
      <t xml:space="preserve">      </t>
    </r>
    <r>
      <rPr>
        <b/>
        <sz val="8"/>
        <rFont val="宋体"/>
        <charset val="134"/>
      </rPr>
      <t>测量系统分析</t>
    </r>
    <r>
      <rPr>
        <b/>
        <sz val="8"/>
        <rFont val="Arial"/>
        <charset val="134"/>
      </rPr>
      <t>MSA  GR&amp;R---</t>
    </r>
    <r>
      <rPr>
        <b/>
        <sz val="8"/>
        <rFont val="宋体"/>
        <charset val="134"/>
      </rPr>
      <t>均值极差法Average and method</t>
    </r>
  </si>
  <si>
    <r>
      <rPr>
        <sz val="8"/>
        <rFont val="宋体"/>
        <charset val="134"/>
      </rPr>
      <t xml:space="preserve">量具名称
</t>
    </r>
    <r>
      <rPr>
        <sz val="8"/>
        <rFont val="Arial"/>
        <charset val="134"/>
      </rPr>
      <t>Equipment</t>
    </r>
  </si>
  <si>
    <r>
      <rPr>
        <sz val="8"/>
        <rFont val="宋体"/>
        <charset val="134"/>
      </rPr>
      <t xml:space="preserve">测量人员
</t>
    </r>
    <r>
      <rPr>
        <sz val="8"/>
        <rFont val="Arial"/>
        <charset val="134"/>
      </rPr>
      <t>Operator</t>
    </r>
    <r>
      <rPr>
        <sz val="8"/>
        <rFont val="宋体"/>
        <charset val="134"/>
      </rPr>
      <t>Ａ</t>
    </r>
  </si>
  <si>
    <r>
      <rPr>
        <sz val="8"/>
        <rFont val="宋体"/>
        <charset val="134"/>
      </rPr>
      <t xml:space="preserve">基件编号
</t>
    </r>
    <r>
      <rPr>
        <sz val="8"/>
        <rFont val="Arial"/>
        <charset val="134"/>
      </rPr>
      <t>Part NO.</t>
    </r>
  </si>
  <si>
    <r>
      <rPr>
        <sz val="8"/>
        <rFont val="宋体"/>
        <charset val="134"/>
      </rPr>
      <t xml:space="preserve">测量人员
</t>
    </r>
    <r>
      <rPr>
        <sz val="8"/>
        <rFont val="Arial"/>
        <charset val="134"/>
      </rPr>
      <t>Operator</t>
    </r>
    <r>
      <rPr>
        <sz val="8"/>
        <rFont val="宋体"/>
        <charset val="134"/>
      </rPr>
      <t>Ｂ</t>
    </r>
  </si>
  <si>
    <r>
      <rPr>
        <sz val="8"/>
        <rFont val="宋体"/>
        <charset val="134"/>
      </rPr>
      <t xml:space="preserve">参数规格
</t>
    </r>
    <r>
      <rPr>
        <sz val="8"/>
        <rFont val="Arial"/>
        <charset val="134"/>
      </rPr>
      <t>Specification</t>
    </r>
  </si>
  <si>
    <r>
      <rPr>
        <sz val="8"/>
        <rFont val="宋体"/>
        <charset val="134"/>
      </rPr>
      <t xml:space="preserve">规格上限
</t>
    </r>
    <r>
      <rPr>
        <sz val="8"/>
        <rFont val="Arial"/>
        <charset val="134"/>
      </rPr>
      <t>Upper limit</t>
    </r>
  </si>
  <si>
    <r>
      <rPr>
        <sz val="8"/>
        <rFont val="宋体"/>
        <charset val="134"/>
      </rPr>
      <t xml:space="preserve">测量人员
</t>
    </r>
    <r>
      <rPr>
        <sz val="8"/>
        <rFont val="Arial"/>
        <charset val="134"/>
      </rPr>
      <t>Operator</t>
    </r>
    <r>
      <rPr>
        <sz val="8"/>
        <rFont val="宋体"/>
        <charset val="134"/>
      </rPr>
      <t>Ｃ</t>
    </r>
  </si>
  <si>
    <r>
      <rPr>
        <sz val="8"/>
        <rFont val="宋体"/>
        <charset val="134"/>
      </rPr>
      <t xml:space="preserve">测量单位
</t>
    </r>
    <r>
      <rPr>
        <sz val="8"/>
        <rFont val="Arial"/>
        <charset val="134"/>
      </rPr>
      <t>Unit</t>
    </r>
  </si>
  <si>
    <r>
      <rPr>
        <sz val="8"/>
        <rFont val="宋体"/>
        <charset val="134"/>
      </rPr>
      <t xml:space="preserve">规格下限
</t>
    </r>
    <r>
      <rPr>
        <sz val="8"/>
        <rFont val="Arial"/>
        <charset val="134"/>
      </rPr>
      <t xml:space="preserve">Lower Limit </t>
    </r>
  </si>
  <si>
    <r>
      <rPr>
        <sz val="8"/>
        <rFont val="宋体"/>
        <charset val="134"/>
      </rPr>
      <t xml:space="preserve">过程变差/过程能力
</t>
    </r>
    <r>
      <rPr>
        <sz val="7"/>
        <rFont val="宋体"/>
        <charset val="134"/>
      </rPr>
      <t>Process Variation(σ/PP)</t>
    </r>
  </si>
  <si>
    <r>
      <rPr>
        <sz val="8"/>
        <rFont val="Arial"/>
        <charset val="134"/>
      </rPr>
      <t>Datasheet</t>
    </r>
    <r>
      <rPr>
        <sz val="8"/>
        <rFont val="宋体"/>
        <charset val="134"/>
      </rPr>
      <t>：</t>
    </r>
  </si>
  <si>
    <r>
      <rPr>
        <sz val="8"/>
        <rFont val="宋体"/>
        <charset val="134"/>
      </rPr>
      <t>分析方式</t>
    </r>
    <r>
      <rPr>
        <sz val="8"/>
        <rFont val="Arial"/>
        <charset val="134"/>
      </rPr>
      <t>Analysis mode</t>
    </r>
  </si>
  <si>
    <t>基于零件变差base on parts variation</t>
  </si>
  <si>
    <r>
      <rPr>
        <sz val="8"/>
        <rFont val="宋体"/>
        <charset val="134"/>
      </rPr>
      <t>测量系统分析</t>
    </r>
    <r>
      <rPr>
        <sz val="8"/>
        <rFont val="Arial"/>
        <charset val="134"/>
      </rPr>
      <t>MSA</t>
    </r>
  </si>
  <si>
    <r>
      <rPr>
        <sz val="8"/>
        <rFont val="Arial"/>
        <charset val="134"/>
      </rPr>
      <t xml:space="preserve">%  </t>
    </r>
    <r>
      <rPr>
        <sz val="8"/>
        <rFont val="宋体"/>
        <charset val="134"/>
      </rPr>
      <t>总变差</t>
    </r>
    <r>
      <rPr>
        <sz val="8"/>
        <rFont val="Arial"/>
        <charset val="134"/>
      </rPr>
      <t>Total variation</t>
    </r>
    <r>
      <rPr>
        <sz val="8"/>
        <rFont val="宋体"/>
        <charset val="134"/>
      </rPr>
      <t>（</t>
    </r>
    <r>
      <rPr>
        <sz val="8"/>
        <rFont val="Arial"/>
        <charset val="134"/>
      </rPr>
      <t>TV</t>
    </r>
    <r>
      <rPr>
        <sz val="8"/>
        <rFont val="宋体"/>
        <charset val="134"/>
      </rPr>
      <t>）</t>
    </r>
  </si>
  <si>
    <r>
      <rPr>
        <sz val="8"/>
        <rFont val="宋体"/>
        <charset val="134"/>
      </rPr>
      <t>重复性</t>
    </r>
    <r>
      <rPr>
        <sz val="8"/>
        <rFont val="Arial"/>
        <charset val="134"/>
      </rPr>
      <t>Repeatability</t>
    </r>
    <r>
      <rPr>
        <sz val="8"/>
        <rFont val="宋体"/>
        <charset val="134"/>
      </rPr>
      <t>－设备变差</t>
    </r>
    <r>
      <rPr>
        <sz val="8"/>
        <rFont val="Arial"/>
        <charset val="134"/>
      </rPr>
      <t>Equipment Variation(EV)</t>
    </r>
  </si>
  <si>
    <t xml:space="preserve">= </t>
  </si>
  <si>
    <r>
      <rPr>
        <sz val="8"/>
        <rFont val="Arial"/>
        <charset val="134"/>
      </rPr>
      <t>K</t>
    </r>
    <r>
      <rPr>
        <vertAlign val="subscript"/>
        <sz val="8"/>
        <rFont val="Arial"/>
        <charset val="134"/>
      </rPr>
      <t>1</t>
    </r>
  </si>
  <si>
    <r>
      <rPr>
        <sz val="8"/>
        <rFont val="宋体"/>
        <charset val="134"/>
      </rPr>
      <t>再现性</t>
    </r>
    <r>
      <rPr>
        <sz val="8"/>
        <rFont val="Arial"/>
        <charset val="134"/>
      </rPr>
      <t>Reproducibility</t>
    </r>
    <r>
      <rPr>
        <sz val="8"/>
        <rFont val="宋体"/>
        <charset val="134"/>
      </rPr>
      <t>－評价人变差</t>
    </r>
    <r>
      <rPr>
        <sz val="8"/>
        <rFont val="Arial"/>
        <charset val="134"/>
      </rPr>
      <t>Appraiser Variation(AV)</t>
    </r>
  </si>
  <si>
    <r>
      <rPr>
        <sz val="8"/>
        <rFont val="宋体"/>
        <charset val="134"/>
      </rPr>
      <t xml:space="preserve">评价人数
</t>
    </r>
    <r>
      <rPr>
        <sz val="8"/>
        <rFont val="Arial"/>
        <charset val="134"/>
      </rPr>
      <t>Appraisers</t>
    </r>
  </si>
  <si>
    <t>K2</t>
  </si>
  <si>
    <r>
      <rPr>
        <sz val="8"/>
        <rFont val="宋体"/>
        <charset val="134"/>
      </rPr>
      <t>重复性和再现性</t>
    </r>
    <r>
      <rPr>
        <sz val="8"/>
        <rFont val="Arial"/>
        <charset val="134"/>
      </rPr>
      <t>Repeatability and Reproducibility(R&amp;R)</t>
    </r>
  </si>
  <si>
    <r>
      <rPr>
        <sz val="8"/>
        <rFont val="宋体"/>
        <charset val="134"/>
      </rPr>
      <t xml:space="preserve">零件数量
</t>
    </r>
    <r>
      <rPr>
        <sz val="8"/>
        <rFont val="Arial"/>
        <charset val="134"/>
      </rPr>
      <t>Part QTY</t>
    </r>
  </si>
  <si>
    <r>
      <rPr>
        <sz val="8"/>
        <rFont val="Arial"/>
        <charset val="134"/>
      </rPr>
      <t>K</t>
    </r>
    <r>
      <rPr>
        <vertAlign val="subscript"/>
        <sz val="8"/>
        <rFont val="Arial"/>
        <charset val="134"/>
      </rPr>
      <t>3</t>
    </r>
  </si>
  <si>
    <r>
      <rPr>
        <sz val="8"/>
        <rFont val="宋体"/>
        <charset val="134"/>
      </rPr>
      <t>零件变差</t>
    </r>
    <r>
      <rPr>
        <sz val="8"/>
        <rFont val="Arial"/>
        <charset val="134"/>
      </rPr>
      <t>Parts Variation(PV)</t>
    </r>
  </si>
  <si>
    <t>公式A Formula A</t>
  </si>
  <si>
    <r>
      <rPr>
        <sz val="8"/>
        <rFont val="宋体"/>
        <charset val="134"/>
      </rPr>
      <t>总变差</t>
    </r>
    <r>
      <rPr>
        <sz val="8"/>
        <rFont val="Arial"/>
        <charset val="134"/>
      </rPr>
      <t>Total Variation(TV)</t>
    </r>
  </si>
  <si>
    <r>
      <rPr>
        <sz val="8"/>
        <rFont val="宋体"/>
        <charset val="134"/>
      </rPr>
      <t>有效分辨率</t>
    </r>
    <r>
      <rPr>
        <sz val="8"/>
        <rFont val="Arial"/>
        <charset val="134"/>
      </rPr>
      <t>Availability Resolution(NDC)=1.41*</t>
    </r>
    <r>
      <rPr>
        <sz val="8"/>
        <rFont val="宋体"/>
        <charset val="134"/>
      </rPr>
      <t>（</t>
    </r>
    <r>
      <rPr>
        <sz val="8"/>
        <rFont val="Arial"/>
        <charset val="134"/>
      </rPr>
      <t>PV/R&amp;R</t>
    </r>
    <r>
      <rPr>
        <sz val="8"/>
        <rFont val="宋体"/>
        <charset val="134"/>
      </rPr>
      <t>）</t>
    </r>
  </si>
  <si>
    <r>
      <rPr>
        <sz val="8"/>
        <rFont val="宋体"/>
        <charset val="134"/>
      </rPr>
      <t>基于零件变差</t>
    </r>
    <r>
      <rPr>
        <sz val="8"/>
        <rFont val="Arial"/>
        <charset val="134"/>
      </rPr>
      <t>Base on parts variation</t>
    </r>
  </si>
  <si>
    <t>=</t>
  </si>
  <si>
    <r>
      <rPr>
        <sz val="8"/>
        <rFont val="宋体"/>
        <charset val="134"/>
      </rPr>
      <t>基于过程变差</t>
    </r>
    <r>
      <rPr>
        <sz val="8"/>
        <rFont val="Arial"/>
        <charset val="134"/>
      </rPr>
      <t>Base on process variation</t>
    </r>
  </si>
  <si>
    <r>
      <rPr>
        <sz val="8"/>
        <rFont val="宋体"/>
        <charset val="134"/>
      </rPr>
      <t>基于零件公差</t>
    </r>
    <r>
      <rPr>
        <sz val="8"/>
        <rFont val="Arial"/>
        <charset val="134"/>
      </rPr>
      <t>Base on parts spec</t>
    </r>
  </si>
  <si>
    <r>
      <rPr>
        <sz val="8"/>
        <rFont val="宋体"/>
        <charset val="134"/>
      </rPr>
      <t>判定标准</t>
    </r>
    <r>
      <rPr>
        <sz val="8"/>
        <rFont val="Arial"/>
        <charset val="134"/>
      </rPr>
      <t>Decide Criterion</t>
    </r>
  </si>
  <si>
    <r>
      <rPr>
        <sz val="8"/>
        <rFont val="Arial"/>
        <charset val="134"/>
      </rPr>
      <t>1)   0%&lt;%R&amp;R&lt;10%</t>
    </r>
    <r>
      <rPr>
        <sz val="8"/>
        <rFont val="宋体"/>
        <charset val="134"/>
      </rPr>
      <t>：量测系统状况良好</t>
    </r>
    <r>
      <rPr>
        <sz val="8"/>
        <rFont val="Arial"/>
        <charset val="134"/>
      </rPr>
      <t>Excellent</t>
    </r>
    <r>
      <rPr>
        <sz val="8"/>
        <rFont val="宋体"/>
        <charset val="134"/>
      </rPr>
      <t>；</t>
    </r>
  </si>
  <si>
    <r>
      <rPr>
        <sz val="8"/>
        <rFont val="宋体"/>
        <charset val="134"/>
      </rPr>
      <t>判定</t>
    </r>
    <r>
      <rPr>
        <sz val="8"/>
        <rFont val="Arial"/>
        <charset val="134"/>
      </rPr>
      <t>Decide</t>
    </r>
  </si>
  <si>
    <r>
      <rPr>
        <sz val="8"/>
        <rFont val="Arial"/>
        <charset val="134"/>
      </rPr>
      <t xml:space="preserve">     10%</t>
    </r>
    <r>
      <rPr>
        <sz val="8"/>
        <rFont val="宋体"/>
        <charset val="134"/>
      </rPr>
      <t>≤</t>
    </r>
    <r>
      <rPr>
        <sz val="8"/>
        <rFont val="Arial"/>
        <charset val="134"/>
      </rPr>
      <t>%R&amp;R</t>
    </r>
    <r>
      <rPr>
        <sz val="8"/>
        <rFont val="宋体"/>
        <charset val="134"/>
      </rPr>
      <t>≤</t>
    </r>
    <r>
      <rPr>
        <sz val="8"/>
        <rFont val="Arial"/>
        <charset val="134"/>
      </rPr>
      <t>30%</t>
    </r>
    <r>
      <rPr>
        <sz val="8"/>
        <rFont val="宋体"/>
        <charset val="134"/>
      </rPr>
      <t>：量测系统状况可以接收，但需改进</t>
    </r>
    <r>
      <rPr>
        <sz val="8"/>
        <rFont val="Arial"/>
        <charset val="134"/>
      </rPr>
      <t>Accepted but need improvement</t>
    </r>
    <r>
      <rPr>
        <sz val="8"/>
        <rFont val="宋体"/>
        <charset val="134"/>
      </rPr>
      <t>；</t>
    </r>
  </si>
  <si>
    <r>
      <rPr>
        <sz val="8"/>
        <rFont val="Arial"/>
        <charset val="134"/>
      </rPr>
      <t xml:space="preserve">     30%&lt;%R&amp;R&lt;100%</t>
    </r>
    <r>
      <rPr>
        <sz val="8"/>
        <rFont val="宋体"/>
        <charset val="134"/>
      </rPr>
      <t>：量测系统必须改进</t>
    </r>
    <r>
      <rPr>
        <sz val="8"/>
        <rFont val="Arial"/>
        <charset val="134"/>
      </rPr>
      <t xml:space="preserve">Rejected and must be improved </t>
    </r>
    <r>
      <rPr>
        <sz val="8"/>
        <rFont val="宋体"/>
        <charset val="134"/>
      </rPr>
      <t>。</t>
    </r>
  </si>
  <si>
    <r>
      <rPr>
        <sz val="8"/>
        <rFont val="Arial"/>
        <charset val="134"/>
      </rPr>
      <t xml:space="preserve">2)    </t>
    </r>
    <r>
      <rPr>
        <sz val="8"/>
        <rFont val="宋体"/>
        <charset val="134"/>
      </rPr>
      <t>数据分级数</t>
    </r>
    <r>
      <rPr>
        <sz val="8"/>
        <rFont val="Arial"/>
        <charset val="134"/>
      </rPr>
      <t>NDC</t>
    </r>
    <r>
      <rPr>
        <sz val="8"/>
        <rFont val="宋体"/>
        <charset val="134"/>
      </rPr>
      <t>经四舍五入取整后，必须大于或等于</t>
    </r>
    <r>
      <rPr>
        <sz val="8"/>
        <rFont val="Arial"/>
        <charset val="134"/>
      </rPr>
      <t>5 The NDC is truncated to the integer and ought to be greater than or equal to 5</t>
    </r>
    <r>
      <rPr>
        <sz val="8"/>
        <rFont val="宋体"/>
        <charset val="134"/>
      </rPr>
      <t>。</t>
    </r>
  </si>
  <si>
    <r>
      <rPr>
        <sz val="8"/>
        <rFont val="宋体"/>
        <charset val="134"/>
      </rPr>
      <t xml:space="preserve">分析评价措施
</t>
    </r>
    <r>
      <rPr>
        <sz val="8"/>
        <rFont val="Arial"/>
        <charset val="134"/>
      </rPr>
      <t>Analysis and action</t>
    </r>
  </si>
  <si>
    <r>
      <rPr>
        <sz val="8"/>
        <rFont val="宋体"/>
        <charset val="134"/>
      </rPr>
      <t>分析人</t>
    </r>
    <r>
      <rPr>
        <sz val="8"/>
        <rFont val="Arial"/>
        <charset val="134"/>
      </rPr>
      <t>Analyst</t>
    </r>
  </si>
  <si>
    <r>
      <rPr>
        <sz val="8"/>
        <rFont val="宋体"/>
        <charset val="134"/>
      </rPr>
      <t>日期</t>
    </r>
    <r>
      <rPr>
        <sz val="8"/>
        <rFont val="Arial"/>
        <charset val="134"/>
      </rPr>
      <t>Date</t>
    </r>
  </si>
  <si>
    <r>
      <rPr>
        <b/>
        <sz val="8"/>
        <rFont val="Arial"/>
        <charset val="134"/>
      </rPr>
      <t xml:space="preserve">      </t>
    </r>
    <r>
      <rPr>
        <b/>
        <sz val="8"/>
        <rFont val="宋体"/>
        <charset val="134"/>
      </rPr>
      <t>测量系统分析</t>
    </r>
    <r>
      <rPr>
        <b/>
        <sz val="8"/>
        <rFont val="Arial"/>
        <charset val="134"/>
      </rPr>
      <t>MSA  GR&amp;R---</t>
    </r>
    <r>
      <rPr>
        <b/>
        <sz val="8"/>
        <rFont val="宋体"/>
        <charset val="134"/>
      </rPr>
      <t>变差数分析法ANOVA method</t>
    </r>
  </si>
  <si>
    <r>
      <rPr>
        <sz val="7"/>
        <rFont val="宋体"/>
        <charset val="134"/>
      </rPr>
      <t xml:space="preserve">测量人员
</t>
    </r>
    <r>
      <rPr>
        <sz val="7"/>
        <rFont val="Arial"/>
        <charset val="134"/>
      </rPr>
      <t>Operator</t>
    </r>
    <r>
      <rPr>
        <sz val="7"/>
        <rFont val="宋体"/>
        <charset val="134"/>
      </rPr>
      <t>Ａ</t>
    </r>
  </si>
  <si>
    <r>
      <rPr>
        <sz val="7"/>
        <rFont val="宋体"/>
        <charset val="134"/>
      </rPr>
      <t xml:space="preserve">测量人员
</t>
    </r>
    <r>
      <rPr>
        <sz val="7"/>
        <rFont val="Arial"/>
        <charset val="134"/>
      </rPr>
      <t>Operator</t>
    </r>
    <r>
      <rPr>
        <sz val="7"/>
        <rFont val="宋体"/>
        <charset val="134"/>
      </rPr>
      <t>Ｂ</t>
    </r>
  </si>
  <si>
    <r>
      <rPr>
        <sz val="7"/>
        <rFont val="宋体"/>
        <charset val="134"/>
      </rPr>
      <t xml:space="preserve">测量人员
</t>
    </r>
    <r>
      <rPr>
        <sz val="7"/>
        <rFont val="Arial"/>
        <charset val="134"/>
      </rPr>
      <t>Operator</t>
    </r>
    <r>
      <rPr>
        <sz val="7"/>
        <rFont val="宋体"/>
        <charset val="134"/>
      </rPr>
      <t>Ｃ</t>
    </r>
  </si>
  <si>
    <r>
      <rPr>
        <sz val="7"/>
        <rFont val="宋体"/>
        <charset val="134"/>
      </rPr>
      <t xml:space="preserve">过程变差
</t>
    </r>
    <r>
      <rPr>
        <sz val="7"/>
        <rFont val="Arial"/>
        <charset val="134"/>
      </rPr>
      <t>Process Variation(6σ)</t>
    </r>
  </si>
  <si>
    <r>
      <rPr>
        <sz val="8"/>
        <rFont val="宋体"/>
        <charset val="134"/>
      </rPr>
      <t xml:space="preserve">方差分析表格
</t>
    </r>
    <r>
      <rPr>
        <sz val="8"/>
        <rFont val="Arial"/>
        <charset val="134"/>
      </rPr>
      <t xml:space="preserve">ANOVA Table </t>
    </r>
  </si>
  <si>
    <r>
      <rPr>
        <sz val="8"/>
        <rFont val="宋体"/>
        <charset val="134"/>
      </rPr>
      <t>操作员和零件的相互作用</t>
    </r>
    <r>
      <rPr>
        <sz val="8"/>
        <rFont val="Arial"/>
        <charset val="134"/>
      </rPr>
      <t xml:space="preserve"> Operator*Part Interaction</t>
    </r>
  </si>
  <si>
    <r>
      <rPr>
        <sz val="8"/>
        <rFont val="宋体"/>
        <charset val="134"/>
      </rPr>
      <t xml:space="preserve">变差来源
</t>
    </r>
    <r>
      <rPr>
        <sz val="8"/>
        <rFont val="Arial"/>
        <charset val="134"/>
      </rPr>
      <t>Source</t>
    </r>
  </si>
  <si>
    <r>
      <rPr>
        <sz val="8"/>
        <rFont val="宋体"/>
        <charset val="134"/>
      </rPr>
      <t>自由</t>
    </r>
    <r>
      <rPr>
        <sz val="8"/>
        <rFont val="Arial"/>
        <charset val="134"/>
      </rPr>
      <t>DF
Degree of freedom</t>
    </r>
  </si>
  <si>
    <r>
      <rPr>
        <sz val="8"/>
        <rFont val="宋体"/>
        <charset val="134"/>
      </rPr>
      <t>平方的总和</t>
    </r>
    <r>
      <rPr>
        <sz val="8"/>
        <rFont val="Arial"/>
        <charset val="134"/>
      </rPr>
      <t>SS
Sum of squares</t>
    </r>
  </si>
  <si>
    <t>平均平方MS
Mean square</t>
  </si>
  <si>
    <t>F-比率
F-ratio</t>
  </si>
  <si>
    <r>
      <rPr>
        <sz val="8"/>
        <rFont val="宋体"/>
        <charset val="134"/>
      </rPr>
      <t>有效分辨率</t>
    </r>
    <r>
      <rPr>
        <sz val="8"/>
        <rFont val="Arial"/>
        <charset val="134"/>
      </rPr>
      <t>Availability Resolution(NDC)</t>
    </r>
  </si>
  <si>
    <t>零件Parts</t>
  </si>
  <si>
    <t>评价者Operators</t>
  </si>
  <si>
    <t>评价者和零件Operators*Part</t>
  </si>
  <si>
    <t>设备Equipment</t>
  </si>
  <si>
    <t>汇总Total</t>
  </si>
  <si>
    <r>
      <rPr>
        <sz val="8"/>
        <rFont val="宋体"/>
        <charset val="134"/>
      </rPr>
      <t xml:space="preserve">变差估计值
</t>
    </r>
    <r>
      <rPr>
        <sz val="6"/>
        <rFont val="Arial"/>
        <charset val="134"/>
      </rPr>
      <t>Estimate of vaiance</t>
    </r>
  </si>
  <si>
    <r>
      <rPr>
        <sz val="8"/>
        <rFont val="宋体"/>
        <charset val="134"/>
      </rPr>
      <t xml:space="preserve">标准偏差
</t>
    </r>
    <r>
      <rPr>
        <sz val="8"/>
        <rFont val="Arial"/>
        <charset val="134"/>
      </rPr>
      <t>Stdev</t>
    </r>
  </si>
  <si>
    <r>
      <rPr>
        <sz val="8"/>
        <rFont val="Arial"/>
        <charset val="134"/>
      </rPr>
      <t>%</t>
    </r>
    <r>
      <rPr>
        <sz val="8"/>
        <rFont val="宋体"/>
        <charset val="134"/>
      </rPr>
      <t>贡献率</t>
    </r>
    <r>
      <rPr>
        <sz val="8"/>
        <rFont val="Arial"/>
        <charset val="134"/>
      </rPr>
      <t>Contribution</t>
    </r>
  </si>
  <si>
    <r>
      <rPr>
        <sz val="8"/>
        <rFont val="Arial"/>
        <charset val="134"/>
      </rPr>
      <t>%</t>
    </r>
    <r>
      <rPr>
        <sz val="8"/>
        <rFont val="宋体"/>
        <charset val="134"/>
      </rPr>
      <t>总变差</t>
    </r>
    <r>
      <rPr>
        <sz val="8"/>
        <rFont val="Arial"/>
        <charset val="134"/>
      </rPr>
      <t>TV</t>
    </r>
  </si>
  <si>
    <r>
      <rPr>
        <sz val="8"/>
        <rFont val="Arial"/>
        <charset val="134"/>
      </rPr>
      <t>%</t>
    </r>
    <r>
      <rPr>
        <sz val="8"/>
        <rFont val="宋体"/>
        <charset val="134"/>
      </rPr>
      <t>公差</t>
    </r>
    <r>
      <rPr>
        <sz val="8"/>
        <rFont val="Arial"/>
        <charset val="134"/>
      </rPr>
      <t>Tolerance</t>
    </r>
  </si>
  <si>
    <r>
      <rPr>
        <sz val="8"/>
        <rFont val="宋体"/>
        <charset val="134"/>
      </rPr>
      <t>系统</t>
    </r>
    <r>
      <rPr>
        <sz val="6"/>
        <rFont val="Arial"/>
        <charset val="134"/>
      </rPr>
      <t>Total Gauge R&amp;R</t>
    </r>
  </si>
  <si>
    <r>
      <rPr>
        <sz val="8"/>
        <rFont val="宋体"/>
        <charset val="134"/>
      </rPr>
      <t>重复性</t>
    </r>
    <r>
      <rPr>
        <sz val="6"/>
        <rFont val="Arial"/>
        <charset val="134"/>
      </rPr>
      <t>Repeatability</t>
    </r>
  </si>
  <si>
    <r>
      <rPr>
        <sz val="8"/>
        <rFont val="宋体"/>
        <charset val="134"/>
      </rPr>
      <t>再现性</t>
    </r>
    <r>
      <rPr>
        <sz val="6"/>
        <rFont val="Arial"/>
        <charset val="134"/>
      </rPr>
      <t>Reproducibility</t>
    </r>
  </si>
  <si>
    <r>
      <rPr>
        <sz val="8"/>
        <rFont val="宋体"/>
        <charset val="134"/>
      </rPr>
      <t>评价者</t>
    </r>
    <r>
      <rPr>
        <sz val="8"/>
        <rFont val="Arial"/>
        <charset val="134"/>
      </rPr>
      <t>Operator</t>
    </r>
  </si>
  <si>
    <t>相互作用InteractionINT=0</t>
  </si>
  <si>
    <r>
      <rPr>
        <sz val="8"/>
        <rFont val="宋体"/>
        <charset val="134"/>
      </rPr>
      <t>零件</t>
    </r>
    <r>
      <rPr>
        <sz val="8"/>
        <rFont val="Arial"/>
        <charset val="134"/>
      </rPr>
      <t xml:space="preserve">Part </t>
    </r>
  </si>
  <si>
    <r>
      <rPr>
        <sz val="8"/>
        <rFont val="宋体"/>
        <charset val="134"/>
      </rPr>
      <t>总变差</t>
    </r>
    <r>
      <rPr>
        <sz val="6"/>
        <rFont val="Arial"/>
        <charset val="134"/>
      </rPr>
      <t>Total Variation</t>
    </r>
  </si>
  <si>
    <r>
      <rPr>
        <sz val="8"/>
        <rFont val="宋体"/>
        <charset val="134"/>
      </rPr>
      <t>人与零件相互作用分界</t>
    </r>
    <r>
      <rPr>
        <sz val="8"/>
        <rFont val="Arial"/>
        <charset val="134"/>
      </rPr>
      <t xml:space="preserve"> P</t>
    </r>
    <r>
      <rPr>
        <sz val="8"/>
        <rFont val="宋体"/>
        <charset val="134"/>
      </rPr>
      <t>值</t>
    </r>
    <r>
      <rPr>
        <sz val="8"/>
        <rFont val="Arial"/>
        <charset val="134"/>
      </rPr>
      <t xml:space="preserve">
The interaction between Operator and part boundaries P value is </t>
    </r>
  </si>
  <si>
    <r>
      <rPr>
        <sz val="8"/>
        <rFont val="宋体"/>
        <charset val="134"/>
      </rPr>
      <t>实际</t>
    </r>
    <r>
      <rPr>
        <sz val="8"/>
        <rFont val="Arial"/>
        <charset val="134"/>
      </rPr>
      <t>P</t>
    </r>
    <r>
      <rPr>
        <sz val="8"/>
        <rFont val="宋体"/>
        <charset val="134"/>
      </rPr>
      <t>值
Actual P Value</t>
    </r>
  </si>
  <si>
    <r>
      <rPr>
        <sz val="8"/>
        <rFont val="宋体"/>
        <charset val="134"/>
      </rPr>
      <t xml:space="preserve">基于零件变差
</t>
    </r>
    <r>
      <rPr>
        <sz val="8"/>
        <rFont val="Arial"/>
        <charset val="134"/>
      </rPr>
      <t>Base on parts variation</t>
    </r>
  </si>
  <si>
    <t>基于公差
Base on parts spec</t>
  </si>
  <si>
    <t>分析方法
Analysis method</t>
  </si>
  <si>
    <t>基于零件变差Base on parts variation</t>
  </si>
  <si>
    <r>
      <rPr>
        <i/>
        <sz val="10"/>
        <rFont val="宋体"/>
        <charset val="134"/>
      </rPr>
      <t xml:space="preserve">结论
</t>
    </r>
    <r>
      <rPr>
        <i/>
        <sz val="10"/>
        <rFont val="Arial"/>
        <charset val="134"/>
      </rPr>
      <t>Result</t>
    </r>
  </si>
</sst>
</file>

<file path=xl/styles.xml><?xml version="1.0" encoding="utf-8"?>
<styleSheet xmlns="http://schemas.openxmlformats.org/spreadsheetml/2006/main">
  <numFmts count="18">
    <numFmt numFmtId="176" formatCode="0.00000_ "/>
    <numFmt numFmtId="177" formatCode="0.00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8" formatCode="0.000000_ "/>
    <numFmt numFmtId="179" formatCode="0.000_);[Red]\(0.000\)"/>
    <numFmt numFmtId="180" formatCode="0.0000"/>
    <numFmt numFmtId="181" formatCode="0.000000_);[Red]\(0.000000\)"/>
    <numFmt numFmtId="182" formatCode="0.0000000_);[Red]\(0.0000000\)"/>
    <numFmt numFmtId="183" formatCode="0.0_ "/>
    <numFmt numFmtId="184" formatCode="0_ "/>
    <numFmt numFmtId="185" formatCode="0.00000_);[Red]\(0.00000\)"/>
    <numFmt numFmtId="186" formatCode="0.000"/>
    <numFmt numFmtId="187" formatCode="0.0"/>
    <numFmt numFmtId="188" formatCode="0.0000_);[Red]\(0.0000\)"/>
    <numFmt numFmtId="189" formatCode="0_);[Red]\(0\)"/>
  </numFmts>
  <fonts count="58">
    <font>
      <sz val="11"/>
      <color theme="1"/>
      <name val="宋体"/>
      <charset val="134"/>
      <scheme val="minor"/>
    </font>
    <font>
      <sz val="8"/>
      <name val="Arial"/>
      <charset val="134"/>
    </font>
    <font>
      <sz val="8"/>
      <color indexed="42"/>
      <name val="Arial"/>
      <charset val="134"/>
    </font>
    <font>
      <b/>
      <sz val="8"/>
      <name val="Arial"/>
      <charset val="134"/>
    </font>
    <font>
      <sz val="8"/>
      <name val="宋体"/>
      <charset val="134"/>
    </font>
    <font>
      <sz val="8"/>
      <color theme="1"/>
      <name val="Arial"/>
      <charset val="134"/>
    </font>
    <font>
      <sz val="6"/>
      <color theme="1"/>
      <name val="Arial"/>
      <charset val="134"/>
    </font>
    <font>
      <sz val="6"/>
      <color theme="1"/>
      <name val="宋体"/>
      <charset val="134"/>
    </font>
    <font>
      <sz val="8"/>
      <color theme="1"/>
      <name val="宋体"/>
      <charset val="134"/>
    </font>
    <font>
      <b/>
      <sz val="6"/>
      <color theme="1"/>
      <name val="Arial"/>
      <charset val="134"/>
    </font>
    <font>
      <sz val="8"/>
      <color indexed="22"/>
      <name val="Arial"/>
      <charset val="134"/>
    </font>
    <font>
      <b/>
      <sz val="8"/>
      <name val="宋体"/>
      <charset val="134"/>
    </font>
    <font>
      <b/>
      <sz val="8"/>
      <color indexed="8"/>
      <name val="Arial"/>
      <charset val="134"/>
    </font>
    <font>
      <sz val="8"/>
      <color indexed="42"/>
      <name val="宋体"/>
      <charset val="134"/>
    </font>
    <font>
      <b/>
      <i/>
      <sz val="8"/>
      <color indexed="42"/>
      <name val="Arial"/>
      <charset val="134"/>
    </font>
    <font>
      <vertAlign val="superscript"/>
      <sz val="8"/>
      <name val="Arial"/>
      <charset val="134"/>
    </font>
    <font>
      <sz val="10"/>
      <name val="Arial"/>
      <charset val="134"/>
    </font>
    <font>
      <b/>
      <i/>
      <sz val="8"/>
      <name val="Arial"/>
      <charset val="134"/>
    </font>
    <font>
      <b/>
      <i/>
      <u/>
      <sz val="8"/>
      <name val="Arial"/>
      <charset val="134"/>
    </font>
    <font>
      <u/>
      <sz val="8"/>
      <color indexed="10"/>
      <name val="Arial"/>
      <charset val="134"/>
    </font>
    <font>
      <sz val="6"/>
      <name val="Arial"/>
      <charset val="134"/>
    </font>
    <font>
      <u/>
      <sz val="8"/>
      <color indexed="12"/>
      <name val="Arial"/>
      <charset val="134"/>
    </font>
    <font>
      <sz val="7"/>
      <name val="宋体"/>
      <charset val="134"/>
    </font>
    <font>
      <sz val="7"/>
      <name val="Arial"/>
      <charset val="134"/>
    </font>
    <font>
      <b/>
      <sz val="10"/>
      <name val="宋体"/>
      <charset val="134"/>
    </font>
    <font>
      <sz val="6"/>
      <name val="宋体"/>
      <charset val="134"/>
    </font>
    <font>
      <sz val="8"/>
      <color indexed="12"/>
      <name val="Arial"/>
      <charset val="134"/>
    </font>
    <font>
      <i/>
      <sz val="10"/>
      <name val="Arial"/>
      <charset val="134"/>
    </font>
    <font>
      <i/>
      <sz val="16"/>
      <name val="Arial"/>
      <charset val="134"/>
    </font>
    <font>
      <b/>
      <sz val="10"/>
      <name val="Arial"/>
      <charset val="134"/>
    </font>
    <font>
      <sz val="16"/>
      <name val="Arial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Arial"/>
      <charset val="134"/>
    </font>
    <font>
      <b/>
      <sz val="11"/>
      <color theme="1"/>
      <name val="宋体"/>
      <charset val="0"/>
      <scheme val="minor"/>
    </font>
    <font>
      <sz val="12"/>
      <name val="宋体"/>
      <charset val="134"/>
    </font>
    <font>
      <sz val="12"/>
      <name val="Times New Roman"/>
      <charset val="134"/>
    </font>
    <font>
      <b/>
      <i/>
      <sz val="8"/>
      <name val="宋体"/>
      <charset val="134"/>
    </font>
    <font>
      <vertAlign val="subscript"/>
      <sz val="6"/>
      <color theme="1"/>
      <name val="Arial"/>
      <charset val="134"/>
    </font>
    <font>
      <vertAlign val="subscript"/>
      <sz val="8"/>
      <name val="Arial"/>
      <charset val="134"/>
    </font>
    <font>
      <i/>
      <sz val="10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3499862666707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8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uble">
        <color auto="1"/>
      </bottom>
      <diagonal/>
    </border>
    <border>
      <left style="medium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33" fillId="0" borderId="0" applyFont="0" applyFill="0" applyBorder="0" applyAlignment="0" applyProtection="0">
      <alignment vertical="center"/>
    </xf>
    <xf numFmtId="0" fontId="42" fillId="20" borderId="0" applyNumberFormat="0" applyBorder="0" applyAlignment="0" applyProtection="0">
      <alignment vertical="center"/>
    </xf>
    <xf numFmtId="0" fontId="41" fillId="12" borderId="73" applyNumberFormat="0" applyAlignment="0" applyProtection="0">
      <alignment vertical="center"/>
    </xf>
    <xf numFmtId="44" fontId="33" fillId="0" borderId="0" applyFont="0" applyFill="0" applyBorder="0" applyAlignment="0" applyProtection="0">
      <alignment vertical="center"/>
    </xf>
    <xf numFmtId="41" fontId="33" fillId="0" borderId="0" applyFont="0" applyFill="0" applyBorder="0" applyAlignment="0" applyProtection="0">
      <alignment vertical="center"/>
    </xf>
    <xf numFmtId="0" fontId="42" fillId="16" borderId="0" applyNumberFormat="0" applyBorder="0" applyAlignment="0" applyProtection="0">
      <alignment vertical="center"/>
    </xf>
    <xf numFmtId="0" fontId="43" fillId="17" borderId="0" applyNumberFormat="0" applyBorder="0" applyAlignment="0" applyProtection="0">
      <alignment vertical="center"/>
    </xf>
    <xf numFmtId="43" fontId="33" fillId="0" borderId="0" applyFont="0" applyFill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33" fillId="0" borderId="0" applyFon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/>
    <xf numFmtId="0" fontId="33" fillId="11" borderId="74" applyNumberFormat="0" applyFont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35" fillId="0" borderId="72" applyNumberFormat="0" applyFill="0" applyAlignment="0" applyProtection="0">
      <alignment vertical="center"/>
    </xf>
    <xf numFmtId="0" fontId="31" fillId="0" borderId="72" applyNumberFormat="0" applyFill="0" applyAlignment="0" applyProtection="0">
      <alignment vertical="center"/>
    </xf>
    <xf numFmtId="0" fontId="45" fillId="24" borderId="0" applyNumberFormat="0" applyBorder="0" applyAlignment="0" applyProtection="0">
      <alignment vertical="center"/>
    </xf>
    <xf numFmtId="0" fontId="36" fillId="0" borderId="75" applyNumberFormat="0" applyFill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8" fillId="10" borderId="77" applyNumberFormat="0" applyAlignment="0" applyProtection="0">
      <alignment vertical="center"/>
    </xf>
    <xf numFmtId="0" fontId="34" fillId="10" borderId="73" applyNumberFormat="0" applyAlignment="0" applyProtection="0">
      <alignment vertical="center"/>
    </xf>
    <xf numFmtId="0" fontId="49" fillId="30" borderId="78" applyNumberFormat="0" applyAlignment="0" applyProtection="0">
      <alignment vertical="center"/>
    </xf>
    <xf numFmtId="0" fontId="42" fillId="19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7" fillId="0" borderId="76" applyNumberFormat="0" applyFill="0" applyAlignment="0" applyProtection="0">
      <alignment vertical="center"/>
    </xf>
    <xf numFmtId="0" fontId="51" fillId="0" borderId="79" applyNumberFormat="0" applyFill="0" applyAlignment="0" applyProtection="0">
      <alignment vertical="center"/>
    </xf>
    <xf numFmtId="0" fontId="50" fillId="0" borderId="0"/>
    <xf numFmtId="0" fontId="44" fillId="18" borderId="0" applyNumberFormat="0" applyBorder="0" applyAlignment="0" applyProtection="0">
      <alignment vertical="center"/>
    </xf>
    <xf numFmtId="0" fontId="46" fillId="22" borderId="0" applyNumberFormat="0" applyBorder="0" applyAlignment="0" applyProtection="0">
      <alignment vertical="center"/>
    </xf>
    <xf numFmtId="0" fontId="42" fillId="40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2" fillId="39" borderId="0" applyNumberFormat="0" applyBorder="0" applyAlignment="0" applyProtection="0">
      <alignment vertical="center"/>
    </xf>
    <xf numFmtId="0" fontId="42" fillId="15" borderId="0" applyNumberFormat="0" applyBorder="0" applyAlignment="0" applyProtection="0">
      <alignment vertical="center"/>
    </xf>
    <xf numFmtId="0" fontId="42" fillId="3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5" fillId="36" borderId="0" applyNumberFormat="0" applyBorder="0" applyAlignment="0" applyProtection="0">
      <alignment vertical="center"/>
    </xf>
    <xf numFmtId="0" fontId="45" fillId="32" borderId="0" applyNumberFormat="0" applyBorder="0" applyAlignment="0" applyProtection="0">
      <alignment vertical="center"/>
    </xf>
    <xf numFmtId="0" fontId="42" fillId="37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2" fillId="28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35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16" fillId="0" borderId="0"/>
    <xf numFmtId="0" fontId="16" fillId="0" borderId="0"/>
    <xf numFmtId="0" fontId="52" fillId="0" borderId="0">
      <alignment vertical="center"/>
    </xf>
    <xf numFmtId="0" fontId="53" fillId="0" borderId="0"/>
  </cellStyleXfs>
  <cellXfs count="460">
    <xf numFmtId="0" fontId="0" fillId="0" borderId="0" xfId="0"/>
    <xf numFmtId="0" fontId="1" fillId="0" borderId="0" xfId="53" applyFont="1" applyFill="1">
      <alignment vertical="center"/>
    </xf>
    <xf numFmtId="0" fontId="1" fillId="0" borderId="0" xfId="53" applyFont="1" applyFill="1" applyAlignment="1">
      <alignment vertical="center"/>
    </xf>
    <xf numFmtId="0" fontId="1" fillId="2" borderId="0" xfId="53" applyFont="1" applyFill="1" applyAlignment="1">
      <alignment vertical="center"/>
    </xf>
    <xf numFmtId="0" fontId="2" fillId="2" borderId="0" xfId="53" applyFont="1" applyFill="1" applyBorder="1" applyAlignment="1">
      <alignment vertical="center"/>
    </xf>
    <xf numFmtId="0" fontId="1" fillId="3" borderId="1" xfId="53" applyFont="1" applyFill="1" applyBorder="1" applyAlignment="1">
      <alignment horizontal="center" vertical="center" wrapText="1"/>
    </xf>
    <xf numFmtId="0" fontId="1" fillId="0" borderId="2" xfId="52" applyFont="1" applyBorder="1"/>
    <xf numFmtId="0" fontId="3" fillId="3" borderId="3" xfId="53" applyFont="1" applyFill="1" applyBorder="1" applyAlignment="1">
      <alignment horizontal="center" vertical="center" wrapText="1"/>
    </xf>
    <xf numFmtId="0" fontId="3" fillId="3" borderId="0" xfId="53" applyFont="1" applyFill="1" applyBorder="1" applyAlignment="1">
      <alignment horizontal="center" vertical="center"/>
    </xf>
    <xf numFmtId="0" fontId="1" fillId="3" borderId="3" xfId="53" applyFont="1" applyFill="1" applyBorder="1" applyAlignment="1">
      <alignment horizontal="center" vertical="center"/>
    </xf>
    <xf numFmtId="0" fontId="1" fillId="3" borderId="0" xfId="53" applyFont="1" applyFill="1" applyBorder="1" applyAlignment="1">
      <alignment horizontal="center" vertical="center"/>
    </xf>
    <xf numFmtId="0" fontId="1" fillId="3" borderId="4" xfId="53" applyFont="1" applyFill="1" applyBorder="1">
      <alignment vertical="center"/>
    </xf>
    <xf numFmtId="0" fontId="1" fillId="3" borderId="5" xfId="53" applyFont="1" applyFill="1" applyBorder="1" applyAlignment="1" applyProtection="1">
      <alignment horizontal="center" vertical="center"/>
      <protection locked="0"/>
    </xf>
    <xf numFmtId="0" fontId="1" fillId="3" borderId="5" xfId="53" applyFont="1" applyFill="1" applyBorder="1" applyAlignment="1">
      <alignment horizontal="center" vertical="center"/>
    </xf>
    <xf numFmtId="0" fontId="1" fillId="3" borderId="5" xfId="53" applyFont="1" applyFill="1" applyBorder="1">
      <alignment vertical="center"/>
    </xf>
    <xf numFmtId="0" fontId="1" fillId="3" borderId="3" xfId="53" applyFont="1" applyFill="1" applyBorder="1">
      <alignment vertical="center"/>
    </xf>
    <xf numFmtId="0" fontId="1" fillId="3" borderId="0" xfId="53" applyFont="1" applyFill="1" applyBorder="1" applyAlignment="1" applyProtection="1">
      <alignment horizontal="center" vertical="center"/>
      <protection locked="0"/>
    </xf>
    <xf numFmtId="0" fontId="1" fillId="3" borderId="0" xfId="53" applyFont="1" applyFill="1" applyBorder="1">
      <alignment vertical="center"/>
    </xf>
    <xf numFmtId="0" fontId="1" fillId="3" borderId="1" xfId="53" applyFont="1" applyFill="1" applyBorder="1">
      <alignment vertical="center"/>
    </xf>
    <xf numFmtId="0" fontId="1" fillId="3" borderId="2" xfId="53" applyFont="1" applyFill="1" applyBorder="1" applyAlignment="1" applyProtection="1">
      <alignment horizontal="center" vertical="center"/>
      <protection locked="0"/>
    </xf>
    <xf numFmtId="0" fontId="1" fillId="3" borderId="2" xfId="53" applyFont="1" applyFill="1" applyBorder="1" applyAlignment="1">
      <alignment horizontal="center" vertical="center"/>
    </xf>
    <xf numFmtId="0" fontId="1" fillId="3" borderId="2" xfId="53" applyFont="1" applyFill="1" applyBorder="1">
      <alignment vertical="center"/>
    </xf>
    <xf numFmtId="0" fontId="4" fillId="3" borderId="3" xfId="53" applyFont="1" applyFill="1" applyBorder="1" applyAlignment="1">
      <alignment horizontal="right" vertical="center" wrapText="1"/>
    </xf>
    <xf numFmtId="0" fontId="1" fillId="3" borderId="0" xfId="53" applyFont="1" applyFill="1" applyBorder="1" applyAlignment="1">
      <alignment horizontal="right" vertical="center"/>
    </xf>
    <xf numFmtId="0" fontId="1" fillId="3" borderId="6" xfId="53" applyFont="1" applyFill="1" applyBorder="1" applyAlignment="1">
      <alignment horizontal="right" vertical="center"/>
    </xf>
    <xf numFmtId="49" fontId="4" fillId="4" borderId="7" xfId="53" applyNumberFormat="1" applyFont="1" applyFill="1" applyBorder="1" applyAlignment="1" applyProtection="1">
      <alignment horizontal="left" vertical="center" shrinkToFit="1"/>
      <protection locked="0"/>
    </xf>
    <xf numFmtId="49" fontId="1" fillId="4" borderId="8" xfId="53" applyNumberFormat="1" applyFont="1" applyFill="1" applyBorder="1" applyAlignment="1" applyProtection="1">
      <alignment horizontal="left" vertical="center" shrinkToFit="1"/>
      <protection locked="0"/>
    </xf>
    <xf numFmtId="0" fontId="4" fillId="3" borderId="9" xfId="53" applyFont="1" applyFill="1" applyBorder="1" applyAlignment="1">
      <alignment horizontal="right" vertical="center" wrapText="1"/>
    </xf>
    <xf numFmtId="0" fontId="1" fillId="3" borderId="6" xfId="53" applyFont="1" applyFill="1" applyBorder="1" applyAlignment="1">
      <alignment horizontal="right" vertical="center" wrapText="1"/>
    </xf>
    <xf numFmtId="0" fontId="1" fillId="3" borderId="3" xfId="53" applyFont="1" applyFill="1" applyBorder="1" applyAlignment="1">
      <alignment vertical="center"/>
    </xf>
    <xf numFmtId="0" fontId="1" fillId="3" borderId="0" xfId="53" applyFont="1" applyFill="1" applyBorder="1" applyAlignment="1">
      <alignment vertical="center"/>
    </xf>
    <xf numFmtId="49" fontId="1" fillId="3" borderId="0" xfId="53" applyNumberFormat="1" applyFont="1" applyFill="1" applyBorder="1" applyAlignment="1">
      <alignment horizontal="left" vertical="center" shrinkToFit="1"/>
    </xf>
    <xf numFmtId="49" fontId="1" fillId="4" borderId="7" xfId="53" applyNumberFormat="1" applyFont="1" applyFill="1" applyBorder="1" applyAlignment="1" applyProtection="1">
      <alignment horizontal="left" vertical="center" shrinkToFit="1"/>
      <protection locked="0"/>
    </xf>
    <xf numFmtId="0" fontId="1" fillId="3" borderId="3" xfId="53" applyFont="1" applyFill="1" applyBorder="1" applyAlignment="1">
      <alignment horizontal="right" vertical="center"/>
    </xf>
    <xf numFmtId="0" fontId="1" fillId="3" borderId="0" xfId="53" applyFont="1" applyFill="1" applyBorder="1" applyAlignment="1">
      <alignment horizontal="left" vertical="center" shrinkToFit="1"/>
    </xf>
    <xf numFmtId="0" fontId="1" fillId="3" borderId="4" xfId="53" applyFont="1" applyFill="1" applyBorder="1" applyAlignment="1">
      <alignment horizontal="left" vertical="center"/>
    </xf>
    <xf numFmtId="0" fontId="1" fillId="3" borderId="5" xfId="53" applyFont="1" applyFill="1" applyBorder="1" applyAlignment="1">
      <alignment horizontal="right" vertical="center"/>
    </xf>
    <xf numFmtId="0" fontId="1" fillId="3" borderId="5" xfId="53" applyFont="1" applyFill="1" applyBorder="1" applyAlignment="1">
      <alignment vertical="center"/>
    </xf>
    <xf numFmtId="0" fontId="1" fillId="3" borderId="5" xfId="53" applyFont="1" applyFill="1" applyBorder="1" applyAlignment="1">
      <alignment horizontal="left" vertical="center"/>
    </xf>
    <xf numFmtId="0" fontId="1" fillId="3" borderId="1" xfId="53" applyFont="1" applyFill="1" applyBorder="1" applyAlignment="1">
      <alignment vertical="center"/>
    </xf>
    <xf numFmtId="0" fontId="1" fillId="3" borderId="2" xfId="53" applyFont="1" applyFill="1" applyBorder="1" applyAlignment="1">
      <alignment horizontal="right" vertical="center"/>
    </xf>
    <xf numFmtId="0" fontId="1" fillId="3" borderId="2" xfId="53" applyFont="1" applyFill="1" applyBorder="1" applyAlignment="1">
      <alignment vertical="center"/>
    </xf>
    <xf numFmtId="49" fontId="1" fillId="3" borderId="2" xfId="53" applyNumberFormat="1" applyFont="1" applyFill="1" applyBorder="1" applyAlignment="1">
      <alignment horizontal="left" vertical="center"/>
    </xf>
    <xf numFmtId="0" fontId="4" fillId="3" borderId="3" xfId="53" applyFont="1" applyFill="1" applyBorder="1" applyAlignment="1">
      <alignment horizontal="center" vertical="center" wrapText="1"/>
    </xf>
    <xf numFmtId="0" fontId="1" fillId="3" borderId="0" xfId="53" applyFont="1" applyFill="1" applyBorder="1" applyAlignment="1">
      <alignment horizontal="center" vertical="center" wrapText="1"/>
    </xf>
    <xf numFmtId="0" fontId="4" fillId="3" borderId="10" xfId="53" applyFont="1" applyFill="1" applyBorder="1" applyAlignment="1">
      <alignment horizontal="right" vertical="center"/>
    </xf>
    <xf numFmtId="0" fontId="1" fillId="3" borderId="11" xfId="53" applyFont="1" applyFill="1" applyBorder="1" applyAlignment="1">
      <alignment horizontal="right" vertical="center"/>
    </xf>
    <xf numFmtId="0" fontId="1" fillId="3" borderId="12" xfId="53" applyFont="1" applyFill="1" applyBorder="1" applyAlignment="1">
      <alignment horizontal="right" vertical="center"/>
    </xf>
    <xf numFmtId="1" fontId="1" fillId="3" borderId="13" xfId="53" applyNumberFormat="1" applyFont="1" applyFill="1" applyBorder="1" applyAlignment="1">
      <alignment horizontal="center" vertical="center"/>
    </xf>
    <xf numFmtId="0" fontId="1" fillId="3" borderId="14" xfId="53" applyFont="1" applyFill="1" applyBorder="1" applyAlignment="1">
      <alignment horizontal="center" vertical="center"/>
    </xf>
    <xf numFmtId="0" fontId="1" fillId="3" borderId="15" xfId="53" applyFont="1" applyFill="1" applyBorder="1" applyAlignment="1">
      <alignment vertical="center"/>
    </xf>
    <xf numFmtId="0" fontId="1" fillId="3" borderId="16" xfId="53" applyFont="1" applyFill="1" applyBorder="1" applyAlignment="1">
      <alignment vertical="center"/>
    </xf>
    <xf numFmtId="0" fontId="1" fillId="5" borderId="17" xfId="53" applyNumberFormat="1" applyFont="1" applyFill="1" applyBorder="1" applyAlignment="1" applyProtection="1">
      <alignment horizontal="center" vertical="center" shrinkToFit="1"/>
      <protection locked="0"/>
    </xf>
    <xf numFmtId="0" fontId="1" fillId="5" borderId="18" xfId="53" applyNumberFormat="1" applyFont="1" applyFill="1" applyBorder="1" applyAlignment="1" applyProtection="1">
      <alignment horizontal="center" vertical="center" shrinkToFit="1"/>
      <protection locked="0"/>
    </xf>
    <xf numFmtId="0" fontId="1" fillId="3" borderId="19" xfId="53" applyFont="1" applyFill="1" applyBorder="1" applyAlignment="1">
      <alignment horizontal="center" vertical="center"/>
    </xf>
    <xf numFmtId="0" fontId="1" fillId="3" borderId="20" xfId="53" applyFont="1" applyFill="1" applyBorder="1" applyAlignment="1">
      <alignment vertical="center"/>
    </xf>
    <xf numFmtId="0" fontId="1" fillId="3" borderId="8" xfId="53" applyFont="1" applyFill="1" applyBorder="1" applyAlignment="1">
      <alignment vertical="center"/>
    </xf>
    <xf numFmtId="0" fontId="1" fillId="5" borderId="21" xfId="53" applyNumberFormat="1" applyFont="1" applyFill="1" applyBorder="1" applyAlignment="1" applyProtection="1">
      <alignment horizontal="center" vertical="center" shrinkToFit="1"/>
      <protection locked="0"/>
    </xf>
    <xf numFmtId="0" fontId="1" fillId="5" borderId="22" xfId="53" applyNumberFormat="1" applyFont="1" applyFill="1" applyBorder="1" applyAlignment="1" applyProtection="1">
      <alignment horizontal="center" vertical="center" shrinkToFit="1"/>
      <protection locked="0"/>
    </xf>
    <xf numFmtId="0" fontId="4" fillId="3" borderId="8" xfId="53" applyFont="1" applyFill="1" applyBorder="1" applyAlignment="1">
      <alignment horizontal="right" vertical="center"/>
    </xf>
    <xf numFmtId="176" fontId="1" fillId="5" borderId="21" xfId="53" applyNumberFormat="1" applyFont="1" applyFill="1" applyBorder="1" applyAlignment="1">
      <alignment horizontal="center" vertical="center" shrinkToFit="1"/>
    </xf>
    <xf numFmtId="176" fontId="1" fillId="5" borderId="22" xfId="53" applyNumberFormat="1" applyFont="1" applyFill="1" applyBorder="1" applyAlignment="1">
      <alignment horizontal="center" vertical="center" shrinkToFit="1"/>
    </xf>
    <xf numFmtId="0" fontId="1" fillId="3" borderId="23" xfId="53" applyFont="1" applyFill="1" applyBorder="1" applyAlignment="1">
      <alignment horizontal="center" vertical="center"/>
    </xf>
    <xf numFmtId="0" fontId="1" fillId="3" borderId="24" xfId="53" applyFont="1" applyFill="1" applyBorder="1" applyAlignment="1">
      <alignment vertical="center"/>
    </xf>
    <xf numFmtId="0" fontId="4" fillId="3" borderId="25" xfId="53" applyFont="1" applyFill="1" applyBorder="1" applyAlignment="1">
      <alignment horizontal="right" vertical="center"/>
    </xf>
    <xf numFmtId="0" fontId="1" fillId="5" borderId="26" xfId="53" applyNumberFormat="1" applyFont="1" applyFill="1" applyBorder="1" applyAlignment="1">
      <alignment horizontal="center" vertical="center" shrinkToFit="1"/>
    </xf>
    <xf numFmtId="0" fontId="1" fillId="3" borderId="27" xfId="53" applyFont="1" applyFill="1" applyBorder="1" applyAlignment="1">
      <alignment horizontal="center" vertical="center"/>
    </xf>
    <xf numFmtId="0" fontId="1" fillId="3" borderId="28" xfId="53" applyFont="1" applyFill="1" applyBorder="1" applyAlignment="1">
      <alignment vertical="center"/>
    </xf>
    <xf numFmtId="0" fontId="1" fillId="3" borderId="29" xfId="53" applyFont="1" applyFill="1" applyBorder="1" applyAlignment="1">
      <alignment horizontal="right" vertical="center"/>
    </xf>
    <xf numFmtId="0" fontId="1" fillId="5" borderId="30" xfId="53" applyNumberFormat="1" applyFont="1" applyFill="1" applyBorder="1" applyAlignment="1">
      <alignment horizontal="center" vertical="center" shrinkToFit="1"/>
    </xf>
    <xf numFmtId="0" fontId="1" fillId="5" borderId="31" xfId="53" applyNumberFormat="1" applyFont="1" applyFill="1" applyBorder="1" applyAlignment="1">
      <alignment horizontal="center" vertical="center" shrinkToFit="1"/>
    </xf>
    <xf numFmtId="176" fontId="1" fillId="3" borderId="21" xfId="53" applyNumberFormat="1" applyFont="1" applyFill="1" applyBorder="1" applyAlignment="1">
      <alignment horizontal="center" vertical="center" shrinkToFit="1"/>
    </xf>
    <xf numFmtId="176" fontId="1" fillId="3" borderId="22" xfId="53" applyNumberFormat="1" applyFont="1" applyFill="1" applyBorder="1" applyAlignment="1">
      <alignment horizontal="center" vertical="center" shrinkToFit="1"/>
    </xf>
    <xf numFmtId="0" fontId="1" fillId="3" borderId="26" xfId="53" applyNumberFormat="1" applyFont="1" applyFill="1" applyBorder="1" applyAlignment="1">
      <alignment horizontal="center" vertical="center" shrinkToFit="1"/>
    </xf>
    <xf numFmtId="0" fontId="1" fillId="3" borderId="30" xfId="53" applyNumberFormat="1" applyFont="1" applyFill="1" applyBorder="1" applyAlignment="1">
      <alignment horizontal="center" vertical="center" shrinkToFit="1"/>
    </xf>
    <xf numFmtId="0" fontId="1" fillId="3" borderId="31" xfId="53" applyNumberFormat="1" applyFont="1" applyFill="1" applyBorder="1" applyAlignment="1">
      <alignment horizontal="center" vertical="center" shrinkToFit="1"/>
    </xf>
    <xf numFmtId="177" fontId="1" fillId="3" borderId="30" xfId="53" applyNumberFormat="1" applyFont="1" applyFill="1" applyBorder="1" applyAlignment="1">
      <alignment horizontal="center" vertical="center" shrinkToFit="1"/>
    </xf>
    <xf numFmtId="177" fontId="1" fillId="3" borderId="31" xfId="53" applyNumberFormat="1" applyFont="1" applyFill="1" applyBorder="1" applyAlignment="1">
      <alignment horizontal="center" vertical="center" shrinkToFit="1"/>
    </xf>
    <xf numFmtId="0" fontId="4" fillId="3" borderId="32" xfId="53" applyFont="1" applyFill="1" applyBorder="1" applyAlignment="1">
      <alignment horizontal="left" vertical="center" wrapText="1"/>
    </xf>
    <xf numFmtId="0" fontId="4" fillId="3" borderId="33" xfId="53" applyFont="1" applyFill="1" applyBorder="1" applyAlignment="1">
      <alignment horizontal="left" vertical="center" wrapText="1"/>
    </xf>
    <xf numFmtId="0" fontId="4" fillId="3" borderId="34" xfId="53" applyFont="1" applyFill="1" applyBorder="1" applyAlignment="1">
      <alignment horizontal="left" vertical="center" wrapText="1"/>
    </xf>
    <xf numFmtId="178" fontId="1" fillId="3" borderId="35" xfId="53" applyNumberFormat="1" applyFont="1" applyFill="1" applyBorder="1" applyAlignment="1">
      <alignment vertical="center" shrinkToFit="1"/>
    </xf>
    <xf numFmtId="0" fontId="4" fillId="3" borderId="36" xfId="53" applyFont="1" applyFill="1" applyBorder="1" applyAlignment="1">
      <alignment horizontal="right" vertical="center" wrapText="1"/>
    </xf>
    <xf numFmtId="0" fontId="4" fillId="3" borderId="37" xfId="53" applyFont="1" applyFill="1" applyBorder="1" applyAlignment="1">
      <alignment horizontal="right" vertical="center" wrapText="1"/>
    </xf>
    <xf numFmtId="0" fontId="4" fillId="3" borderId="38" xfId="53" applyFont="1" applyFill="1" applyBorder="1" applyAlignment="1">
      <alignment horizontal="right" vertical="center" wrapText="1"/>
    </xf>
    <xf numFmtId="178" fontId="1" fillId="3" borderId="39" xfId="53" applyNumberFormat="1" applyFont="1" applyFill="1" applyBorder="1" applyAlignment="1">
      <alignment vertical="center" shrinkToFit="1"/>
    </xf>
    <xf numFmtId="0" fontId="1" fillId="3" borderId="14" xfId="53" applyFont="1" applyFill="1" applyBorder="1" applyAlignment="1">
      <alignment horizontal="center" vertical="center" shrinkToFit="1"/>
    </xf>
    <xf numFmtId="0" fontId="1" fillId="3" borderId="15" xfId="53" applyFont="1" applyFill="1" applyBorder="1" applyAlignment="1">
      <alignment horizontal="center" vertical="center" shrinkToFit="1"/>
    </xf>
    <xf numFmtId="0" fontId="1" fillId="3" borderId="0" xfId="52" applyFont="1" applyFill="1" applyBorder="1"/>
    <xf numFmtId="180" fontId="1" fillId="3" borderId="15" xfId="53" applyNumberFormat="1" applyFont="1" applyFill="1" applyBorder="1" applyAlignment="1">
      <alignment horizontal="center" vertical="center"/>
    </xf>
    <xf numFmtId="0" fontId="1" fillId="3" borderId="19" xfId="53" applyFont="1" applyFill="1" applyBorder="1" applyAlignment="1">
      <alignment vertical="center"/>
    </xf>
    <xf numFmtId="0" fontId="1" fillId="3" borderId="20" xfId="53" applyFont="1" applyFill="1" applyBorder="1" applyAlignment="1">
      <alignment horizontal="center" vertical="center"/>
    </xf>
    <xf numFmtId="180" fontId="1" fillId="3" borderId="20" xfId="53" applyNumberFormat="1" applyFont="1" applyFill="1" applyBorder="1" applyAlignment="1">
      <alignment horizontal="center" vertical="center"/>
    </xf>
    <xf numFmtId="178" fontId="1" fillId="3" borderId="20" xfId="53" applyNumberFormat="1" applyFont="1" applyFill="1" applyBorder="1" applyAlignment="1">
      <alignment horizontal="left" vertical="center" shrinkToFit="1"/>
    </xf>
    <xf numFmtId="0" fontId="1" fillId="3" borderId="23" xfId="53" applyFont="1" applyFill="1" applyBorder="1" applyAlignment="1">
      <alignment vertical="center"/>
    </xf>
    <xf numFmtId="0" fontId="1" fillId="3" borderId="24" xfId="53" applyFont="1" applyFill="1" applyBorder="1" applyAlignment="1">
      <alignment horizontal="center" vertical="center"/>
    </xf>
    <xf numFmtId="180" fontId="1" fillId="3" borderId="24" xfId="53" applyNumberFormat="1" applyFont="1" applyFill="1" applyBorder="1" applyAlignment="1">
      <alignment horizontal="center" vertical="center"/>
    </xf>
    <xf numFmtId="178" fontId="1" fillId="3" borderId="24" xfId="53" applyNumberFormat="1" applyFont="1" applyFill="1" applyBorder="1" applyAlignment="1">
      <alignment horizontal="left" vertical="center" shrinkToFit="1"/>
    </xf>
    <xf numFmtId="0" fontId="1" fillId="3" borderId="40" xfId="53" applyFont="1" applyFill="1" applyBorder="1" applyAlignment="1">
      <alignment vertical="center" shrinkToFit="1"/>
    </xf>
    <xf numFmtId="0" fontId="1" fillId="3" borderId="41" xfId="53" applyFont="1" applyFill="1" applyBorder="1" applyAlignment="1">
      <alignment vertical="center" shrinkToFit="1"/>
    </xf>
    <xf numFmtId="0" fontId="4" fillId="3" borderId="0" xfId="53" applyFont="1" applyFill="1" applyBorder="1" applyAlignment="1">
      <alignment horizontal="center" vertical="center" wrapText="1"/>
    </xf>
    <xf numFmtId="0" fontId="2" fillId="3" borderId="0" xfId="53" applyFont="1" applyFill="1" applyBorder="1" applyAlignment="1">
      <alignment vertical="center"/>
    </xf>
    <xf numFmtId="0" fontId="5" fillId="3" borderId="0" xfId="53" applyFont="1" applyFill="1" applyBorder="1" applyAlignment="1">
      <alignment vertical="center"/>
    </xf>
    <xf numFmtId="0" fontId="6" fillId="3" borderId="0" xfId="53" applyFont="1" applyFill="1" applyBorder="1" applyAlignment="1">
      <alignment vertical="center" shrinkToFit="1"/>
    </xf>
    <xf numFmtId="180" fontId="6" fillId="3" borderId="0" xfId="53" applyNumberFormat="1" applyFont="1" applyFill="1" applyBorder="1" applyAlignment="1">
      <alignment horizontal="left" vertical="center" shrinkToFit="1"/>
    </xf>
    <xf numFmtId="0" fontId="6" fillId="3" borderId="0" xfId="53" applyFont="1" applyFill="1" applyBorder="1" applyAlignment="1">
      <alignment horizontal="right" vertical="center" shrinkToFit="1"/>
    </xf>
    <xf numFmtId="180" fontId="6" fillId="3" borderId="0" xfId="53" applyNumberFormat="1" applyFont="1" applyFill="1" applyBorder="1" applyAlignment="1">
      <alignment vertical="center" shrinkToFit="1"/>
    </xf>
    <xf numFmtId="0" fontId="7" fillId="3" borderId="0" xfId="53" applyFont="1" applyFill="1" applyBorder="1" applyAlignment="1">
      <alignment vertical="center" shrinkToFit="1"/>
    </xf>
    <xf numFmtId="0" fontId="6" fillId="3" borderId="0" xfId="53" applyFont="1" applyFill="1" applyBorder="1" applyAlignment="1">
      <alignment horizontal="center" vertical="center" shrinkToFit="1"/>
    </xf>
    <xf numFmtId="181" fontId="6" fillId="3" borderId="0" xfId="53" applyNumberFormat="1" applyFont="1" applyFill="1" applyBorder="1" applyAlignment="1">
      <alignment horizontal="center" vertical="center" shrinkToFit="1"/>
    </xf>
    <xf numFmtId="10" fontId="6" fillId="3" borderId="0" xfId="53" applyNumberFormat="1" applyFont="1" applyFill="1" applyBorder="1" applyAlignment="1">
      <alignment horizontal="center" vertical="center" shrinkToFit="1"/>
    </xf>
    <xf numFmtId="0" fontId="1" fillId="3" borderId="0" xfId="53" applyFont="1" applyFill="1" applyAlignment="1">
      <alignment vertical="center"/>
    </xf>
    <xf numFmtId="0" fontId="8" fillId="3" borderId="0" xfId="53" applyFont="1" applyFill="1" applyBorder="1" applyAlignment="1">
      <alignment vertical="center"/>
    </xf>
    <xf numFmtId="182" fontId="6" fillId="6" borderId="0" xfId="53" applyNumberFormat="1" applyFont="1" applyFill="1" applyBorder="1" applyAlignment="1">
      <alignment vertical="center" shrinkToFit="1"/>
    </xf>
    <xf numFmtId="0" fontId="5" fillId="3" borderId="0" xfId="53" applyFont="1" applyFill="1" applyBorder="1" applyAlignment="1">
      <alignment horizontal="center" vertical="center"/>
    </xf>
    <xf numFmtId="0" fontId="9" fillId="3" borderId="42" xfId="51" applyFont="1" applyFill="1" applyBorder="1" applyAlignment="1" applyProtection="1">
      <alignment horizontal="center" vertical="center" shrinkToFit="1"/>
    </xf>
    <xf numFmtId="0" fontId="9" fillId="3" borderId="13" xfId="51" applyFont="1" applyFill="1" applyBorder="1" applyAlignment="1" applyProtection="1">
      <alignment horizontal="center" vertical="center" shrinkToFit="1"/>
    </xf>
    <xf numFmtId="0" fontId="9" fillId="3" borderId="43" xfId="51" applyFont="1" applyFill="1" applyBorder="1" applyAlignment="1" applyProtection="1">
      <alignment horizontal="left" shrinkToFit="1"/>
    </xf>
    <xf numFmtId="0" fontId="9" fillId="3" borderId="44" xfId="51" applyFont="1" applyFill="1" applyBorder="1" applyAlignment="1" applyProtection="1">
      <alignment horizontal="center" shrinkToFit="1"/>
    </xf>
    <xf numFmtId="0" fontId="10" fillId="3" borderId="0" xfId="53" applyFont="1" applyFill="1" applyBorder="1">
      <alignment vertical="center"/>
    </xf>
    <xf numFmtId="183" fontId="10" fillId="3" borderId="0" xfId="53" applyNumberFormat="1" applyFont="1" applyFill="1" applyBorder="1" applyAlignment="1">
      <alignment vertical="center" shrinkToFit="1"/>
    </xf>
    <xf numFmtId="0" fontId="11" fillId="3" borderId="5" xfId="53" applyFont="1" applyFill="1" applyBorder="1" applyAlignment="1" applyProtection="1">
      <alignment horizontal="right" vertical="center" wrapText="1"/>
      <protection hidden="1"/>
    </xf>
    <xf numFmtId="0" fontId="3" fillId="7" borderId="5" xfId="53" applyFont="1" applyFill="1" applyBorder="1" applyAlignment="1" applyProtection="1">
      <alignment horizontal="left" vertical="center" shrinkToFit="1"/>
      <protection locked="0"/>
    </xf>
    <xf numFmtId="0" fontId="3" fillId="3" borderId="0" xfId="53" applyFont="1" applyFill="1" applyBorder="1" applyAlignment="1" applyProtection="1">
      <alignment horizontal="right" vertical="center"/>
      <protection hidden="1"/>
    </xf>
    <xf numFmtId="0" fontId="3" fillId="3" borderId="0" xfId="53" applyFont="1" applyFill="1" applyBorder="1" applyAlignment="1" applyProtection="1">
      <alignment horizontal="center" vertical="center" shrinkToFit="1"/>
      <protection locked="0"/>
    </xf>
    <xf numFmtId="0" fontId="10" fillId="3" borderId="2" xfId="53" applyFont="1" applyFill="1" applyBorder="1">
      <alignment vertical="center"/>
    </xf>
    <xf numFmtId="0" fontId="3" fillId="3" borderId="2" xfId="53" applyFont="1" applyFill="1" applyBorder="1" applyAlignment="1" applyProtection="1">
      <alignment horizontal="right" vertical="center"/>
      <protection hidden="1"/>
    </xf>
    <xf numFmtId="0" fontId="3" fillId="3" borderId="2" xfId="53" applyFont="1" applyFill="1" applyBorder="1" applyAlignment="1" applyProtection="1">
      <alignment horizontal="center" vertical="center" shrinkToFit="1"/>
      <protection locked="0"/>
    </xf>
    <xf numFmtId="0" fontId="4" fillId="3" borderId="6" xfId="53" applyFont="1" applyFill="1" applyBorder="1" applyAlignment="1">
      <alignment horizontal="right" vertical="center" wrapText="1"/>
    </xf>
    <xf numFmtId="49" fontId="1" fillId="3" borderId="0" xfId="53" applyNumberFormat="1" applyFont="1" applyFill="1" applyBorder="1" applyAlignment="1">
      <alignment horizontal="right" vertical="center" shrinkToFit="1"/>
    </xf>
    <xf numFmtId="0" fontId="4" fillId="3" borderId="9" xfId="32" applyFont="1" applyFill="1" applyBorder="1" applyAlignment="1" applyProtection="1">
      <alignment horizontal="right" vertical="center" wrapText="1" shrinkToFit="1"/>
      <protection hidden="1"/>
    </xf>
    <xf numFmtId="0" fontId="4" fillId="3" borderId="6" xfId="32" applyFont="1" applyFill="1" applyBorder="1" applyAlignment="1" applyProtection="1">
      <alignment horizontal="right" vertical="center" wrapText="1" shrinkToFit="1"/>
      <protection hidden="1"/>
    </xf>
    <xf numFmtId="49" fontId="1" fillId="3" borderId="0" xfId="53" applyNumberFormat="1" applyFont="1" applyFill="1" applyBorder="1" applyAlignment="1" applyProtection="1">
      <alignment horizontal="right" vertical="center" shrinkToFit="1"/>
      <protection locked="0"/>
    </xf>
    <xf numFmtId="0" fontId="1" fillId="3" borderId="0" xfId="32" applyFont="1" applyFill="1" applyBorder="1" applyAlignment="1" applyProtection="1">
      <alignment horizontal="right" vertical="center" shrinkToFit="1"/>
      <protection hidden="1"/>
    </xf>
    <xf numFmtId="0" fontId="1" fillId="4" borderId="44" xfId="53" applyFont="1" applyFill="1" applyBorder="1" applyAlignment="1" applyProtection="1">
      <alignment vertical="center" shrinkToFit="1"/>
      <protection locked="0"/>
    </xf>
    <xf numFmtId="0" fontId="1" fillId="3" borderId="0" xfId="53" applyFont="1" applyFill="1" applyBorder="1" applyAlignment="1" applyProtection="1">
      <alignment vertical="center" shrinkToFit="1"/>
      <protection locked="0"/>
    </xf>
    <xf numFmtId="0" fontId="4" fillId="3" borderId="0" xfId="53" applyFont="1" applyFill="1" applyBorder="1" applyAlignment="1">
      <alignment horizontal="right" vertical="center" wrapText="1"/>
    </xf>
    <xf numFmtId="0" fontId="4" fillId="3" borderId="9" xfId="32" applyFont="1" applyFill="1" applyBorder="1" applyAlignment="1" applyProtection="1">
      <alignment horizontal="right" vertical="center" wrapText="1"/>
      <protection hidden="1"/>
    </xf>
    <xf numFmtId="0" fontId="4" fillId="3" borderId="6" xfId="32" applyFont="1" applyFill="1" applyBorder="1" applyAlignment="1" applyProtection="1">
      <alignment horizontal="right" vertical="center" wrapText="1"/>
      <protection hidden="1"/>
    </xf>
    <xf numFmtId="0" fontId="1" fillId="3" borderId="0" xfId="32" applyFont="1" applyFill="1" applyBorder="1" applyAlignment="1" applyProtection="1">
      <alignment horizontal="right" vertical="center"/>
      <protection hidden="1"/>
    </xf>
    <xf numFmtId="0" fontId="4" fillId="3" borderId="9" xfId="53" applyFont="1" applyFill="1" applyBorder="1" applyAlignment="1">
      <alignment horizontal="right" vertical="center" wrapText="1" shrinkToFit="1"/>
    </xf>
    <xf numFmtId="0" fontId="1" fillId="3" borderId="0" xfId="53" applyFont="1" applyFill="1" applyBorder="1" applyAlignment="1">
      <alignment horizontal="right" vertical="center" wrapText="1" shrinkToFit="1"/>
    </xf>
    <xf numFmtId="0" fontId="1" fillId="3" borderId="6" xfId="53" applyFont="1" applyFill="1" applyBorder="1" applyAlignment="1">
      <alignment horizontal="right" vertical="center" wrapText="1" shrinkToFit="1"/>
    </xf>
    <xf numFmtId="0" fontId="1" fillId="3" borderId="5" xfId="32" applyFont="1" applyFill="1" applyBorder="1" applyAlignment="1" applyProtection="1">
      <alignment horizontal="right" vertical="center"/>
      <protection hidden="1"/>
    </xf>
    <xf numFmtId="0" fontId="1" fillId="3" borderId="2" xfId="53" applyFont="1" applyFill="1" applyBorder="1" applyAlignment="1">
      <alignment horizontal="left" vertical="center"/>
    </xf>
    <xf numFmtId="0" fontId="1" fillId="4" borderId="15" xfId="53" applyFont="1" applyFill="1" applyBorder="1" applyAlignment="1" applyProtection="1">
      <alignment horizontal="center" vertical="center" shrinkToFit="1"/>
      <protection locked="0"/>
    </xf>
    <xf numFmtId="1" fontId="4" fillId="3" borderId="45" xfId="53" applyNumberFormat="1" applyFont="1" applyFill="1" applyBorder="1" applyAlignment="1">
      <alignment horizontal="center" vertical="center"/>
    </xf>
    <xf numFmtId="0" fontId="4" fillId="3" borderId="45" xfId="53" applyFont="1" applyFill="1" applyBorder="1" applyAlignment="1">
      <alignment horizontal="center" vertical="center"/>
    </xf>
    <xf numFmtId="0" fontId="1" fillId="5" borderId="46" xfId="53" applyNumberFormat="1" applyFont="1" applyFill="1" applyBorder="1" applyAlignment="1" applyProtection="1">
      <alignment horizontal="center" vertical="center" shrinkToFit="1"/>
      <protection locked="0"/>
    </xf>
    <xf numFmtId="0" fontId="1" fillId="3" borderId="44" xfId="53" applyNumberFormat="1" applyFont="1" applyFill="1" applyBorder="1" applyAlignment="1" applyProtection="1">
      <alignment horizontal="center" vertical="center" shrinkToFit="1"/>
      <protection locked="0"/>
    </xf>
    <xf numFmtId="178" fontId="1" fillId="3" borderId="44" xfId="53" applyNumberFormat="1" applyFont="1" applyFill="1" applyBorder="1" applyAlignment="1">
      <alignment horizontal="center" vertical="center" shrinkToFit="1"/>
    </xf>
    <xf numFmtId="0" fontId="1" fillId="5" borderId="47" xfId="53" applyNumberFormat="1" applyFont="1" applyFill="1" applyBorder="1" applyAlignment="1" applyProtection="1">
      <alignment horizontal="center" vertical="center" shrinkToFit="1"/>
      <protection locked="0"/>
    </xf>
    <xf numFmtId="178" fontId="1" fillId="3" borderId="48" xfId="53" applyNumberFormat="1" applyFont="1" applyFill="1" applyBorder="1" applyAlignment="1">
      <alignment horizontal="center" vertical="center" shrinkToFit="1"/>
    </xf>
    <xf numFmtId="176" fontId="1" fillId="5" borderId="47" xfId="53" applyNumberFormat="1" applyFont="1" applyFill="1" applyBorder="1" applyAlignment="1">
      <alignment horizontal="center" vertical="center" shrinkToFit="1"/>
    </xf>
    <xf numFmtId="0" fontId="1" fillId="3" borderId="7" xfId="53" applyNumberFormat="1" applyFont="1" applyFill="1" applyBorder="1" applyAlignment="1" applyProtection="1">
      <alignment horizontal="center" vertical="center" shrinkToFit="1"/>
      <protection locked="0"/>
    </xf>
    <xf numFmtId="0" fontId="1" fillId="3" borderId="7" xfId="53" applyFont="1" applyFill="1" applyBorder="1" applyAlignment="1">
      <alignment horizontal="center" vertical="center"/>
    </xf>
    <xf numFmtId="177" fontId="1" fillId="3" borderId="44" xfId="53" applyNumberFormat="1" applyFont="1" applyFill="1" applyBorder="1" applyAlignment="1" applyProtection="1">
      <alignment horizontal="center" vertical="center" shrinkToFit="1"/>
      <protection locked="0"/>
    </xf>
    <xf numFmtId="0" fontId="1" fillId="5" borderId="49" xfId="53" applyNumberFormat="1" applyFont="1" applyFill="1" applyBorder="1" applyAlignment="1">
      <alignment horizontal="center" vertical="center" shrinkToFit="1"/>
    </xf>
    <xf numFmtId="0" fontId="1" fillId="3" borderId="50" xfId="53" applyFont="1" applyFill="1" applyBorder="1" applyAlignment="1">
      <alignment horizontal="center" vertical="center"/>
    </xf>
    <xf numFmtId="178" fontId="1" fillId="3" borderId="35" xfId="53" applyNumberFormat="1" applyFont="1" applyFill="1" applyBorder="1" applyAlignment="1">
      <alignment horizontal="center" vertical="center" shrinkToFit="1"/>
    </xf>
    <xf numFmtId="176" fontId="1" fillId="3" borderId="47" xfId="53" applyNumberFormat="1" applyFont="1" applyFill="1" applyBorder="1" applyAlignment="1">
      <alignment horizontal="center" vertical="center" shrinkToFit="1"/>
    </xf>
    <xf numFmtId="0" fontId="1" fillId="3" borderId="49" xfId="53" applyNumberFormat="1" applyFont="1" applyFill="1" applyBorder="1" applyAlignment="1">
      <alignment horizontal="center" vertical="center" shrinkToFit="1"/>
    </xf>
    <xf numFmtId="177" fontId="1" fillId="3" borderId="49" xfId="53" applyNumberFormat="1" applyFont="1" applyFill="1" applyBorder="1" applyAlignment="1">
      <alignment horizontal="center" vertical="center" shrinkToFit="1"/>
    </xf>
    <xf numFmtId="0" fontId="1" fillId="3" borderId="48" xfId="53" applyNumberFormat="1" applyFont="1" applyFill="1" applyBorder="1" applyAlignment="1" applyProtection="1">
      <alignment horizontal="center" vertical="center" shrinkToFit="1"/>
      <protection locked="0"/>
    </xf>
    <xf numFmtId="178" fontId="1" fillId="3" borderId="44" xfId="53" applyNumberFormat="1" applyFont="1" applyFill="1" applyBorder="1" applyAlignment="1">
      <alignment horizontal="left" vertical="center" shrinkToFit="1"/>
    </xf>
    <xf numFmtId="0" fontId="1" fillId="3" borderId="39" xfId="53" applyNumberFormat="1" applyFont="1" applyFill="1" applyBorder="1" applyAlignment="1" applyProtection="1">
      <alignment horizontal="center" vertical="center" shrinkToFit="1"/>
      <protection locked="0"/>
    </xf>
    <xf numFmtId="178" fontId="1" fillId="3" borderId="15" xfId="53" applyNumberFormat="1" applyFont="1" applyFill="1" applyBorder="1" applyAlignment="1">
      <alignment horizontal="left" vertical="center" shrinkToFit="1"/>
    </xf>
    <xf numFmtId="0" fontId="1" fillId="3" borderId="15" xfId="53" applyFont="1" applyFill="1" applyBorder="1" applyAlignment="1">
      <alignment horizontal="right" vertical="center"/>
    </xf>
    <xf numFmtId="0" fontId="4" fillId="3" borderId="15" xfId="53" applyFont="1" applyFill="1" applyBorder="1" applyAlignment="1">
      <alignment horizontal="center" vertical="center" shrinkToFit="1"/>
    </xf>
    <xf numFmtId="0" fontId="1" fillId="3" borderId="16" xfId="53" applyFont="1" applyFill="1" applyBorder="1" applyAlignment="1">
      <alignment horizontal="center" vertical="center" shrinkToFit="1"/>
    </xf>
    <xf numFmtId="0" fontId="1" fillId="3" borderId="8" xfId="53" applyFont="1" applyFill="1" applyBorder="1" applyAlignment="1">
      <alignment horizontal="center" vertical="center"/>
    </xf>
    <xf numFmtId="0" fontId="1" fillId="3" borderId="25" xfId="53" applyFont="1" applyFill="1" applyBorder="1" applyAlignment="1">
      <alignment horizontal="center" vertical="center"/>
    </xf>
    <xf numFmtId="0" fontId="6" fillId="3" borderId="0" xfId="53" applyFont="1" applyFill="1" applyBorder="1" applyAlignment="1">
      <alignment horizontal="left" vertical="center" shrinkToFit="1"/>
    </xf>
    <xf numFmtId="0" fontId="7" fillId="3" borderId="0" xfId="53" applyFont="1" applyFill="1" applyBorder="1" applyAlignment="1">
      <alignment horizontal="right" vertical="center" shrinkToFit="1"/>
    </xf>
    <xf numFmtId="181" fontId="6" fillId="3" borderId="0" xfId="53" applyNumberFormat="1" applyFont="1" applyFill="1" applyBorder="1" applyAlignment="1">
      <alignment vertical="center" shrinkToFit="1"/>
    </xf>
    <xf numFmtId="49" fontId="6" fillId="3" borderId="0" xfId="53" applyNumberFormat="1" applyFont="1" applyFill="1" applyBorder="1" applyAlignment="1">
      <alignment vertical="center" shrinkToFit="1"/>
    </xf>
    <xf numFmtId="10" fontId="6" fillId="3" borderId="0" xfId="53" applyNumberFormat="1" applyFont="1" applyFill="1" applyBorder="1" applyAlignment="1">
      <alignment vertical="center" shrinkToFit="1"/>
    </xf>
    <xf numFmtId="0" fontId="6" fillId="3" borderId="5" xfId="53" applyFont="1" applyFill="1" applyBorder="1" applyAlignment="1">
      <alignment horizontal="center" vertical="center" shrinkToFit="1"/>
    </xf>
    <xf numFmtId="0" fontId="9" fillId="3" borderId="44" xfId="51" applyFont="1" applyFill="1" applyBorder="1" applyAlignment="1" applyProtection="1">
      <alignment horizontal="left" shrinkToFit="1"/>
    </xf>
    <xf numFmtId="0" fontId="1" fillId="0" borderId="51" xfId="52" applyFont="1" applyBorder="1"/>
    <xf numFmtId="0" fontId="2" fillId="3" borderId="0" xfId="53" applyFont="1" applyFill="1" applyBorder="1">
      <alignment vertical="center"/>
    </xf>
    <xf numFmtId="0" fontId="2" fillId="2" borderId="0" xfId="53" applyFont="1" applyFill="1" applyBorder="1">
      <alignment vertical="center"/>
    </xf>
    <xf numFmtId="0" fontId="3" fillId="3" borderId="52" xfId="53" applyFont="1" applyFill="1" applyBorder="1" applyAlignment="1">
      <alignment horizontal="center" vertical="center"/>
    </xf>
    <xf numFmtId="183" fontId="10" fillId="3" borderId="52" xfId="53" applyNumberFormat="1" applyFont="1" applyFill="1" applyBorder="1" applyAlignment="1">
      <alignment vertical="center" shrinkToFit="1"/>
    </xf>
    <xf numFmtId="0" fontId="3" fillId="7" borderId="53" xfId="53" applyFont="1" applyFill="1" applyBorder="1" applyAlignment="1" applyProtection="1">
      <alignment horizontal="left" vertical="center" shrinkToFit="1"/>
      <protection locked="0"/>
    </xf>
    <xf numFmtId="0" fontId="3" fillId="3" borderId="51" xfId="53" applyFont="1" applyFill="1" applyBorder="1" applyAlignment="1" applyProtection="1">
      <alignment horizontal="center" vertical="center" shrinkToFit="1"/>
      <protection locked="0"/>
    </xf>
    <xf numFmtId="14" fontId="1" fillId="4" borderId="54" xfId="53" applyNumberFormat="1" applyFont="1" applyFill="1" applyBorder="1" applyAlignment="1" applyProtection="1">
      <alignment horizontal="left" vertical="center" shrinkToFit="1"/>
      <protection locked="0"/>
    </xf>
    <xf numFmtId="0" fontId="1" fillId="3" borderId="52" xfId="53" applyFont="1" applyFill="1" applyBorder="1" applyAlignment="1">
      <alignment vertical="center"/>
    </xf>
    <xf numFmtId="184" fontId="12" fillId="0" borderId="54" xfId="32" applyNumberFormat="1" applyFont="1" applyFill="1" applyBorder="1" applyAlignment="1" applyProtection="1">
      <alignment horizontal="center" vertical="center" shrinkToFit="1"/>
      <protection locked="0"/>
    </xf>
    <xf numFmtId="0" fontId="12" fillId="3" borderId="52" xfId="32" applyFont="1" applyFill="1" applyBorder="1" applyAlignment="1" applyProtection="1">
      <alignment horizontal="center" vertical="center" shrinkToFit="1"/>
      <protection hidden="1"/>
    </xf>
    <xf numFmtId="0" fontId="12" fillId="3" borderId="54" xfId="32" applyFont="1" applyFill="1" applyBorder="1" applyAlignment="1" applyProtection="1">
      <alignment horizontal="center" vertical="center" shrinkToFit="1"/>
      <protection hidden="1"/>
    </xf>
    <xf numFmtId="0" fontId="12" fillId="3" borderId="53" xfId="32" applyFont="1" applyFill="1" applyBorder="1" applyAlignment="1" applyProtection="1">
      <alignment horizontal="center" vertical="center" shrinkToFit="1"/>
      <protection hidden="1"/>
    </xf>
    <xf numFmtId="0" fontId="1" fillId="3" borderId="51" xfId="53" applyFont="1" applyFill="1" applyBorder="1" applyAlignment="1">
      <alignment horizontal="left" vertical="center"/>
    </xf>
    <xf numFmtId="0" fontId="1" fillId="4" borderId="55" xfId="53" applyFont="1" applyFill="1" applyBorder="1" applyAlignment="1" applyProtection="1">
      <alignment horizontal="center" vertical="center" shrinkToFit="1"/>
      <protection locked="0"/>
    </xf>
    <xf numFmtId="0" fontId="1" fillId="3" borderId="56" xfId="53" applyFont="1" applyFill="1" applyBorder="1" applyAlignment="1">
      <alignment horizontal="center" vertical="center"/>
    </xf>
    <xf numFmtId="178" fontId="1" fillId="3" borderId="54" xfId="53" applyNumberFormat="1" applyFont="1" applyFill="1" applyBorder="1" applyAlignment="1">
      <alignment horizontal="center" vertical="center" shrinkToFit="1"/>
    </xf>
    <xf numFmtId="178" fontId="1" fillId="3" borderId="57" xfId="53" applyNumberFormat="1" applyFont="1" applyFill="1" applyBorder="1" applyAlignment="1">
      <alignment horizontal="center" vertical="center" shrinkToFit="1"/>
    </xf>
    <xf numFmtId="178" fontId="1" fillId="3" borderId="58" xfId="53" applyNumberFormat="1" applyFont="1" applyFill="1" applyBorder="1" applyAlignment="1">
      <alignment horizontal="left" vertical="center" shrinkToFit="1"/>
    </xf>
    <xf numFmtId="178" fontId="1" fillId="3" borderId="55" xfId="53" applyNumberFormat="1" applyFont="1" applyFill="1" applyBorder="1" applyAlignment="1">
      <alignment horizontal="left" vertical="center" shrinkToFit="1"/>
    </xf>
    <xf numFmtId="178" fontId="1" fillId="3" borderId="59" xfId="53" applyNumberFormat="1" applyFont="1" applyFill="1" applyBorder="1" applyAlignment="1">
      <alignment horizontal="center" vertical="center" shrinkToFit="1"/>
    </xf>
    <xf numFmtId="178" fontId="1" fillId="3" borderId="52" xfId="53" applyNumberFormat="1" applyFont="1" applyFill="1" applyBorder="1" applyAlignment="1">
      <alignment horizontal="left" vertical="center" shrinkToFit="1"/>
    </xf>
    <xf numFmtId="178" fontId="1" fillId="3" borderId="53" xfId="53" applyNumberFormat="1" applyFont="1" applyFill="1" applyBorder="1" applyAlignment="1">
      <alignment horizontal="left" vertical="center" shrinkToFit="1"/>
    </xf>
    <xf numFmtId="0" fontId="1" fillId="3" borderId="59" xfId="53" applyFont="1" applyFill="1" applyBorder="1" applyAlignment="1">
      <alignment horizontal="center" vertical="center"/>
    </xf>
    <xf numFmtId="0" fontId="1" fillId="3" borderId="54" xfId="53" applyFont="1" applyFill="1" applyBorder="1" applyAlignment="1">
      <alignment horizontal="center" vertical="center"/>
    </xf>
    <xf numFmtId="0" fontId="1" fillId="3" borderId="57" xfId="53" applyFont="1" applyFill="1" applyBorder="1" applyAlignment="1">
      <alignment horizontal="center" vertical="center"/>
    </xf>
    <xf numFmtId="0" fontId="1" fillId="3" borderId="60" xfId="53" applyFont="1" applyFill="1" applyBorder="1" applyAlignment="1">
      <alignment vertical="center" shrinkToFit="1"/>
    </xf>
    <xf numFmtId="0" fontId="5" fillId="3" borderId="52" xfId="53" applyFont="1" applyFill="1" applyBorder="1" applyAlignment="1">
      <alignment vertical="center"/>
    </xf>
    <xf numFmtId="0" fontId="6" fillId="3" borderId="52" xfId="53" applyFont="1" applyFill="1" applyBorder="1" applyAlignment="1">
      <alignment vertical="center" shrinkToFit="1"/>
    </xf>
    <xf numFmtId="0" fontId="7" fillId="3" borderId="52" xfId="53" applyFont="1" applyFill="1" applyBorder="1" applyAlignment="1">
      <alignment horizontal="left" vertical="center" shrinkToFit="1"/>
    </xf>
    <xf numFmtId="0" fontId="7" fillId="3" borderId="52" xfId="53" applyFont="1" applyFill="1" applyBorder="1" applyAlignment="1">
      <alignment vertical="center" shrinkToFit="1"/>
    </xf>
    <xf numFmtId="0" fontId="9" fillId="3" borderId="61" xfId="51" applyFont="1" applyFill="1" applyBorder="1" applyAlignment="1" applyProtection="1">
      <alignment horizontal="center" vertical="center" shrinkToFit="1"/>
    </xf>
    <xf numFmtId="0" fontId="9" fillId="3" borderId="54" xfId="51" applyFont="1" applyFill="1" applyBorder="1" applyAlignment="1" applyProtection="1">
      <alignment horizontal="center" shrinkToFit="1"/>
    </xf>
    <xf numFmtId="0" fontId="6" fillId="3" borderId="43" xfId="51" applyFont="1" applyFill="1" applyBorder="1" applyAlignment="1" applyProtection="1">
      <alignment shrinkToFit="1"/>
    </xf>
    <xf numFmtId="2" fontId="6" fillId="3" borderId="44" xfId="51" applyNumberFormat="1" applyFont="1" applyFill="1" applyBorder="1" applyAlignment="1" applyProtection="1">
      <alignment shrinkToFit="1"/>
    </xf>
    <xf numFmtId="1" fontId="6" fillId="3" borderId="44" xfId="51" applyNumberFormat="1" applyFont="1" applyFill="1" applyBorder="1" applyAlignment="1" applyProtection="1">
      <alignment horizontal="center" shrinkToFit="1"/>
    </xf>
    <xf numFmtId="185" fontId="6" fillId="3" borderId="44" xfId="51" applyNumberFormat="1" applyFont="1" applyFill="1" applyBorder="1" applyAlignment="1" applyProtection="1">
      <alignment horizontal="center" shrinkToFit="1"/>
    </xf>
    <xf numFmtId="0" fontId="6" fillId="3" borderId="43" xfId="51" applyFont="1" applyFill="1" applyBorder="1" applyAlignment="1" applyProtection="1">
      <alignment horizontal="center" shrinkToFit="1"/>
    </xf>
    <xf numFmtId="0" fontId="6" fillId="3" borderId="44" xfId="51" applyFont="1" applyFill="1" applyBorder="1" applyAlignment="1" applyProtection="1">
      <alignment horizontal="center" shrinkToFit="1"/>
    </xf>
    <xf numFmtId="0" fontId="6" fillId="3" borderId="44" xfId="51" applyNumberFormat="1" applyFont="1" applyFill="1" applyBorder="1" applyAlignment="1" applyProtection="1">
      <alignment horizontal="center" shrinkToFit="1"/>
    </xf>
    <xf numFmtId="0" fontId="9" fillId="3" borderId="43" xfId="51" applyFont="1" applyFill="1" applyBorder="1" applyAlignment="1" applyProtection="1">
      <alignment horizontal="center" vertical="center" shrinkToFit="1"/>
    </xf>
    <xf numFmtId="0" fontId="9" fillId="3" borderId="44" xfId="51" applyFont="1" applyFill="1" applyBorder="1" applyAlignment="1" applyProtection="1">
      <alignment horizontal="center" vertical="center" shrinkToFit="1"/>
    </xf>
    <xf numFmtId="0" fontId="9" fillId="3" borderId="43" xfId="51" applyFont="1" applyFill="1" applyBorder="1" applyAlignment="1" applyProtection="1">
      <alignment shrinkToFit="1"/>
    </xf>
    <xf numFmtId="2" fontId="9" fillId="3" borderId="44" xfId="51" applyNumberFormat="1" applyFont="1" applyFill="1" applyBorder="1" applyAlignment="1" applyProtection="1">
      <alignment shrinkToFit="1"/>
    </xf>
    <xf numFmtId="0" fontId="9" fillId="3" borderId="44" xfId="51" applyNumberFormat="1" applyFont="1" applyFill="1" applyBorder="1" applyAlignment="1" applyProtection="1">
      <alignment horizontal="center" shrinkToFit="1"/>
    </xf>
    <xf numFmtId="10" fontId="9" fillId="3" borderId="44" xfId="51" applyNumberFormat="1" applyFont="1" applyFill="1" applyBorder="1" applyAlignment="1" applyProtection="1">
      <alignment shrinkToFit="1"/>
    </xf>
    <xf numFmtId="0" fontId="13" fillId="3" borderId="0" xfId="53" applyFont="1" applyFill="1" applyBorder="1" applyAlignment="1">
      <alignment vertical="center"/>
    </xf>
    <xf numFmtId="0" fontId="4" fillId="3" borderId="4" xfId="53" applyFont="1" applyFill="1" applyBorder="1" applyAlignment="1">
      <alignment horizontal="center" vertical="center" wrapText="1"/>
    </xf>
    <xf numFmtId="0" fontId="4" fillId="3" borderId="5" xfId="53" applyFont="1" applyFill="1" applyBorder="1" applyAlignment="1">
      <alignment horizontal="center" vertical="center" wrapText="1"/>
    </xf>
    <xf numFmtId="0" fontId="6" fillId="3" borderId="62" xfId="51" applyFont="1" applyFill="1" applyBorder="1" applyAlignment="1" applyProtection="1">
      <alignment horizontal="center" shrinkToFit="1"/>
    </xf>
    <xf numFmtId="0" fontId="6" fillId="3" borderId="39" xfId="51" applyFont="1" applyFill="1" applyBorder="1" applyAlignment="1" applyProtection="1">
      <alignment horizontal="center" shrinkToFit="1"/>
    </xf>
    <xf numFmtId="185" fontId="6" fillId="3" borderId="39" xfId="51" applyNumberFormat="1" applyFont="1" applyFill="1" applyBorder="1" applyAlignment="1" applyProtection="1">
      <alignment horizontal="center" shrinkToFit="1"/>
    </xf>
    <xf numFmtId="10" fontId="9" fillId="3" borderId="39" xfId="51" applyNumberFormat="1" applyFont="1" applyFill="1" applyBorder="1" applyAlignment="1" applyProtection="1">
      <alignment shrinkToFit="1"/>
    </xf>
    <xf numFmtId="0" fontId="1" fillId="3" borderId="4" xfId="53" applyFont="1" applyFill="1" applyBorder="1" applyAlignment="1">
      <alignment vertical="center"/>
    </xf>
    <xf numFmtId="0" fontId="1" fillId="3" borderId="7" xfId="53" applyNumberFormat="1" applyFont="1" applyFill="1" applyBorder="1" applyAlignment="1">
      <alignment horizontal="left" vertical="center" shrinkToFit="1"/>
    </xf>
    <xf numFmtId="0" fontId="1" fillId="3" borderId="8" xfId="53" applyNumberFormat="1" applyFont="1" applyFill="1" applyBorder="1" applyAlignment="1">
      <alignment horizontal="left" vertical="center" shrinkToFit="1"/>
    </xf>
    <xf numFmtId="0" fontId="1" fillId="3" borderId="0" xfId="53" applyNumberFormat="1" applyFont="1" applyFill="1" applyBorder="1" applyAlignment="1">
      <alignment horizontal="left" vertical="center" shrinkToFit="1"/>
    </xf>
    <xf numFmtId="0" fontId="1" fillId="3" borderId="4" xfId="53" applyFont="1" applyFill="1" applyBorder="1" applyAlignment="1">
      <alignment horizontal="right" vertical="center"/>
    </xf>
    <xf numFmtId="0" fontId="1" fillId="3" borderId="15" xfId="53" applyFont="1" applyFill="1" applyBorder="1" applyAlignment="1">
      <alignment horizontal="center" vertical="center"/>
    </xf>
    <xf numFmtId="178" fontId="1" fillId="3" borderId="15" xfId="53" applyNumberFormat="1" applyFont="1" applyFill="1" applyBorder="1" applyAlignment="1">
      <alignment vertical="center" shrinkToFit="1"/>
    </xf>
    <xf numFmtId="180" fontId="1" fillId="3" borderId="15" xfId="53" applyNumberFormat="1" applyFont="1" applyFill="1" applyBorder="1" applyAlignment="1">
      <alignment vertical="center"/>
    </xf>
    <xf numFmtId="0" fontId="2" fillId="3" borderId="14" xfId="53" applyFont="1" applyFill="1" applyBorder="1" applyAlignment="1">
      <alignment horizontal="center" vertical="center"/>
    </xf>
    <xf numFmtId="0" fontId="2" fillId="3" borderId="15" xfId="53" applyFont="1" applyFill="1" applyBorder="1" applyAlignment="1" applyProtection="1">
      <alignment horizontal="center" vertical="center"/>
      <protection hidden="1"/>
    </xf>
    <xf numFmtId="0" fontId="13" fillId="3" borderId="15" xfId="53" applyFont="1" applyFill="1" applyBorder="1" applyAlignment="1" applyProtection="1">
      <alignment horizontal="center" vertical="center"/>
      <protection hidden="1"/>
    </xf>
    <xf numFmtId="0" fontId="14" fillId="3" borderId="15" xfId="53" applyFont="1" applyFill="1" applyBorder="1" applyAlignment="1" applyProtection="1">
      <alignment horizontal="center" vertical="center"/>
      <protection hidden="1"/>
    </xf>
    <xf numFmtId="0" fontId="4" fillId="3" borderId="20" xfId="53" applyFont="1" applyFill="1" applyBorder="1" applyAlignment="1">
      <alignment horizontal="center" vertical="center"/>
    </xf>
    <xf numFmtId="0" fontId="4" fillId="3" borderId="0" xfId="53" applyFont="1" applyFill="1" applyBorder="1" applyAlignment="1">
      <alignment vertical="center"/>
    </xf>
    <xf numFmtId="180" fontId="1" fillId="3" borderId="0" xfId="53" applyNumberFormat="1" applyFont="1" applyFill="1" applyBorder="1" applyAlignment="1">
      <alignment vertical="center"/>
    </xf>
    <xf numFmtId="181" fontId="1" fillId="3" borderId="0" xfId="53" applyNumberFormat="1" applyFont="1" applyFill="1" applyBorder="1" applyAlignment="1">
      <alignment horizontal="left" vertical="center"/>
    </xf>
    <xf numFmtId="180" fontId="1" fillId="3" borderId="0" xfId="53" applyNumberFormat="1" applyFont="1" applyFill="1" applyBorder="1" applyAlignment="1">
      <alignment horizontal="left" vertical="center"/>
    </xf>
    <xf numFmtId="186" fontId="1" fillId="3" borderId="0" xfId="53" applyNumberFormat="1" applyFont="1" applyFill="1" applyBorder="1" applyAlignment="1">
      <alignment horizontal="left" vertical="center"/>
    </xf>
    <xf numFmtId="0" fontId="4" fillId="3" borderId="24" xfId="53" applyFont="1" applyFill="1" applyBorder="1" applyAlignment="1">
      <alignment vertical="center"/>
    </xf>
    <xf numFmtId="0" fontId="1" fillId="3" borderId="0" xfId="53" applyFont="1" applyFill="1" applyBorder="1" applyAlignment="1">
      <alignment horizontal="left" vertical="center"/>
    </xf>
    <xf numFmtId="0" fontId="15" fillId="3" borderId="0" xfId="53" applyFont="1" applyFill="1" applyBorder="1" applyAlignment="1">
      <alignment horizontal="left" vertical="center"/>
    </xf>
    <xf numFmtId="0" fontId="1" fillId="3" borderId="24" xfId="53" applyFont="1" applyFill="1" applyBorder="1" applyAlignment="1">
      <alignment vertical="center" wrapText="1"/>
    </xf>
    <xf numFmtId="0" fontId="4" fillId="7" borderId="0" xfId="53" applyFont="1" applyFill="1" applyBorder="1" applyAlignment="1" applyProtection="1">
      <alignment horizontal="left" vertical="center" shrinkToFit="1"/>
      <protection locked="0"/>
    </xf>
    <xf numFmtId="0" fontId="1" fillId="7" borderId="0" xfId="53" applyFont="1" applyFill="1" applyBorder="1" applyAlignment="1" applyProtection="1">
      <alignment horizontal="left" vertical="center" shrinkToFit="1"/>
      <protection locked="0"/>
    </xf>
    <xf numFmtId="0" fontId="1" fillId="3" borderId="0" xfId="53" applyFont="1" applyFill="1" applyBorder="1" applyAlignment="1">
      <alignment vertical="center" wrapText="1"/>
    </xf>
    <xf numFmtId="0" fontId="1" fillId="3" borderId="0" xfId="53" applyFont="1" applyFill="1" applyBorder="1" applyAlignment="1">
      <alignment horizontal="left" vertical="center" wrapText="1"/>
    </xf>
    <xf numFmtId="0" fontId="1" fillId="3" borderId="15" xfId="53" applyFont="1" applyFill="1" applyBorder="1" applyAlignment="1">
      <alignment horizontal="left" vertical="center" wrapText="1"/>
    </xf>
    <xf numFmtId="0" fontId="15" fillId="3" borderId="0" xfId="53" applyFont="1" applyFill="1" applyBorder="1" applyAlignment="1">
      <alignment vertical="center"/>
    </xf>
    <xf numFmtId="0" fontId="4" fillId="3" borderId="0" xfId="53" applyFont="1" applyFill="1" applyBorder="1" applyAlignment="1">
      <alignment horizontal="left" vertical="center" shrinkToFit="1"/>
    </xf>
    <xf numFmtId="0" fontId="1" fillId="3" borderId="3" xfId="53" applyFont="1" applyFill="1" applyBorder="1" applyAlignment="1" applyProtection="1">
      <alignment horizontal="left"/>
      <protection hidden="1"/>
    </xf>
    <xf numFmtId="0" fontId="1" fillId="3" borderId="0" xfId="53" applyFont="1" applyFill="1" applyBorder="1" applyAlignment="1" applyProtection="1">
      <alignment horizontal="left"/>
      <protection hidden="1"/>
    </xf>
    <xf numFmtId="0" fontId="1" fillId="3" borderId="3" xfId="53" applyFont="1" applyFill="1" applyBorder="1" applyAlignment="1" applyProtection="1">
      <alignment horizontal="left" shrinkToFit="1"/>
      <protection hidden="1"/>
    </xf>
    <xf numFmtId="0" fontId="1" fillId="3" borderId="0" xfId="53" applyFont="1" applyFill="1" applyBorder="1" applyAlignment="1" applyProtection="1">
      <alignment horizontal="left" shrinkToFit="1"/>
      <protection hidden="1"/>
    </xf>
    <xf numFmtId="0" fontId="1" fillId="3" borderId="14" xfId="53" applyFont="1" applyFill="1" applyBorder="1" applyAlignment="1" applyProtection="1">
      <alignment horizontal="left" wrapText="1"/>
      <protection hidden="1"/>
    </xf>
    <xf numFmtId="0" fontId="1" fillId="3" borderId="15" xfId="53" applyFont="1" applyFill="1" applyBorder="1" applyAlignment="1" applyProtection="1">
      <alignment horizontal="left" wrapText="1"/>
      <protection hidden="1"/>
    </xf>
    <xf numFmtId="0" fontId="4" fillId="3" borderId="23" xfId="53" applyFont="1" applyFill="1" applyBorder="1" applyAlignment="1">
      <alignment horizontal="center" vertical="center" wrapText="1"/>
    </xf>
    <xf numFmtId="0" fontId="1" fillId="3" borderId="24" xfId="53" applyFont="1" applyFill="1" applyBorder="1" applyAlignment="1">
      <alignment horizontal="center" vertical="center" wrapText="1"/>
    </xf>
    <xf numFmtId="0" fontId="1" fillId="3" borderId="25" xfId="53" applyFont="1" applyFill="1" applyBorder="1" applyAlignment="1">
      <alignment horizontal="center" vertical="center" wrapText="1"/>
    </xf>
    <xf numFmtId="0" fontId="1" fillId="4" borderId="7" xfId="53" applyFont="1" applyFill="1" applyBorder="1" applyAlignment="1" applyProtection="1">
      <alignment horizontal="center" vertical="center" wrapText="1"/>
      <protection locked="0"/>
    </xf>
    <xf numFmtId="0" fontId="1" fillId="4" borderId="20" xfId="53" applyFont="1" applyFill="1" applyBorder="1" applyAlignment="1" applyProtection="1">
      <alignment horizontal="center" vertical="center" wrapText="1"/>
      <protection locked="0"/>
    </xf>
    <xf numFmtId="0" fontId="1" fillId="3" borderId="3" xfId="53" applyFont="1" applyFill="1" applyBorder="1" applyAlignment="1">
      <alignment horizontal="center" vertical="center" wrapText="1"/>
    </xf>
    <xf numFmtId="0" fontId="1" fillId="3" borderId="6" xfId="53" applyFont="1" applyFill="1" applyBorder="1" applyAlignment="1">
      <alignment horizontal="center" vertical="center" wrapText="1"/>
    </xf>
    <xf numFmtId="10" fontId="6" fillId="3" borderId="44" xfId="51" applyNumberFormat="1" applyFont="1" applyFill="1" applyBorder="1" applyAlignment="1" applyProtection="1">
      <alignment shrinkToFit="1"/>
    </xf>
    <xf numFmtId="10" fontId="6" fillId="3" borderId="39" xfId="51" applyNumberFormat="1" applyFont="1" applyFill="1" applyBorder="1" applyAlignment="1" applyProtection="1">
      <alignment shrinkToFit="1"/>
    </xf>
    <xf numFmtId="0" fontId="3" fillId="7" borderId="0" xfId="53" applyNumberFormat="1" applyFont="1" applyFill="1" applyBorder="1" applyAlignment="1" applyProtection="1">
      <alignment horizontal="left" vertical="center" shrinkToFit="1"/>
      <protection locked="0"/>
    </xf>
    <xf numFmtId="0" fontId="4" fillId="3" borderId="0" xfId="32" applyFont="1" applyFill="1" applyBorder="1" applyAlignment="1" applyProtection="1">
      <alignment horizontal="right" vertical="center" wrapText="1" shrinkToFit="1"/>
      <protection hidden="1"/>
    </xf>
    <xf numFmtId="0" fontId="4" fillId="3" borderId="0" xfId="32" applyFont="1" applyFill="1" applyBorder="1" applyAlignment="1" applyProtection="1">
      <alignment horizontal="right" vertical="center" wrapText="1"/>
      <protection hidden="1"/>
    </xf>
    <xf numFmtId="0" fontId="1" fillId="3" borderId="44" xfId="53" applyNumberFormat="1" applyFont="1" applyFill="1" applyBorder="1" applyAlignment="1">
      <alignment vertical="center" shrinkToFit="1"/>
    </xf>
    <xf numFmtId="0" fontId="1" fillId="3" borderId="0" xfId="53" applyNumberFormat="1" applyFont="1" applyFill="1" applyBorder="1" applyAlignment="1">
      <alignment vertical="center" shrinkToFit="1"/>
    </xf>
    <xf numFmtId="0" fontId="16" fillId="0" borderId="0" xfId="52" applyBorder="1"/>
    <xf numFmtId="0" fontId="16" fillId="0" borderId="6" xfId="52" applyBorder="1"/>
    <xf numFmtId="178" fontId="1" fillId="3" borderId="20" xfId="53" applyNumberFormat="1" applyFont="1" applyFill="1" applyBorder="1" applyAlignment="1">
      <alignment vertical="center" shrinkToFit="1"/>
    </xf>
    <xf numFmtId="180" fontId="1" fillId="3" borderId="20" xfId="53" applyNumberFormat="1" applyFont="1" applyFill="1" applyBorder="1" applyAlignment="1">
      <alignment vertical="center"/>
    </xf>
    <xf numFmtId="0" fontId="4" fillId="3" borderId="15" xfId="53" applyFont="1" applyFill="1" applyBorder="1" applyAlignment="1">
      <alignment horizontal="right" vertical="center"/>
    </xf>
    <xf numFmtId="0" fontId="17" fillId="4" borderId="20" xfId="53" applyFont="1" applyFill="1" applyBorder="1" applyAlignment="1" applyProtection="1">
      <alignment horizontal="center" vertical="center" shrinkToFit="1"/>
      <protection locked="0"/>
    </xf>
    <xf numFmtId="0" fontId="1" fillId="3" borderId="6" xfId="53" applyFont="1" applyFill="1" applyBorder="1" applyAlignment="1">
      <alignment vertical="center"/>
    </xf>
    <xf numFmtId="10" fontId="1" fillId="3" borderId="0" xfId="53" applyNumberFormat="1" applyFont="1" applyFill="1" applyBorder="1" applyAlignment="1">
      <alignment horizontal="left" vertical="center"/>
    </xf>
    <xf numFmtId="0" fontId="4" fillId="3" borderId="44" xfId="53" applyFont="1" applyFill="1" applyBorder="1" applyAlignment="1">
      <alignment horizontal="center" vertical="center" wrapText="1" shrinkToFit="1"/>
    </xf>
    <xf numFmtId="0" fontId="1" fillId="3" borderId="44" xfId="53" applyFont="1" applyFill="1" applyBorder="1" applyAlignment="1">
      <alignment horizontal="center" vertical="center"/>
    </xf>
    <xf numFmtId="10" fontId="3" fillId="3" borderId="0" xfId="13" applyNumberFormat="1" applyFont="1" applyFill="1" applyBorder="1" applyAlignment="1">
      <alignment horizontal="left" vertical="center"/>
    </xf>
    <xf numFmtId="0" fontId="1" fillId="3" borderId="44" xfId="53" applyFont="1" applyFill="1" applyBorder="1" applyAlignment="1">
      <alignment horizontal="center" vertical="center" shrinkToFit="1"/>
    </xf>
    <xf numFmtId="187" fontId="1" fillId="3" borderId="0" xfId="53" applyNumberFormat="1" applyFont="1" applyFill="1" applyBorder="1" applyAlignment="1">
      <alignment vertical="center"/>
    </xf>
    <xf numFmtId="2" fontId="1" fillId="3" borderId="0" xfId="53" applyNumberFormat="1" applyFont="1" applyFill="1" applyBorder="1" applyAlignment="1">
      <alignment vertical="center"/>
    </xf>
    <xf numFmtId="0" fontId="1" fillId="3" borderId="6" xfId="53" applyFont="1" applyFill="1" applyBorder="1" applyAlignment="1">
      <alignment vertical="center" shrinkToFit="1"/>
    </xf>
    <xf numFmtId="0" fontId="1" fillId="3" borderId="6" xfId="53" applyFont="1" applyFill="1" applyBorder="1" applyAlignment="1">
      <alignment horizontal="center" vertical="center"/>
    </xf>
    <xf numFmtId="0" fontId="1" fillId="3" borderId="0" xfId="53" applyFont="1" applyFill="1" applyBorder="1" applyAlignment="1">
      <alignment vertical="center" shrinkToFit="1"/>
    </xf>
    <xf numFmtId="0" fontId="1" fillId="3" borderId="9" xfId="53" applyFont="1" applyFill="1" applyBorder="1" applyAlignment="1">
      <alignment vertical="center"/>
    </xf>
    <xf numFmtId="188" fontId="1" fillId="3" borderId="44" xfId="53" applyNumberFormat="1" applyFont="1" applyFill="1" applyBorder="1" applyAlignment="1">
      <alignment horizontal="center" vertical="center" shrinkToFit="1"/>
    </xf>
    <xf numFmtId="0" fontId="1" fillId="3" borderId="50" xfId="53" applyFont="1" applyFill="1" applyBorder="1" applyAlignment="1">
      <alignment vertical="center"/>
    </xf>
    <xf numFmtId="0" fontId="1" fillId="3" borderId="25" xfId="53" applyFont="1" applyFill="1" applyBorder="1" applyAlignment="1">
      <alignment vertical="center" wrapText="1"/>
    </xf>
    <xf numFmtId="0" fontId="1" fillId="3" borderId="6" xfId="53" applyFont="1" applyFill="1" applyBorder="1" applyAlignment="1">
      <alignment vertical="center" wrapText="1"/>
    </xf>
    <xf numFmtId="0" fontId="1" fillId="3" borderId="6" xfId="53" applyFont="1" applyFill="1" applyBorder="1" applyAlignment="1">
      <alignment horizontal="left" vertical="center" wrapText="1"/>
    </xf>
    <xf numFmtId="186" fontId="1" fillId="3" borderId="0" xfId="53" applyNumberFormat="1" applyFont="1" applyFill="1" applyBorder="1" applyAlignment="1">
      <alignment vertical="center"/>
    </xf>
    <xf numFmtId="0" fontId="1" fillId="3" borderId="16" xfId="53" applyFont="1" applyFill="1" applyBorder="1" applyAlignment="1">
      <alignment horizontal="left" vertical="center" wrapText="1"/>
    </xf>
    <xf numFmtId="186" fontId="1" fillId="3" borderId="15" xfId="53" applyNumberFormat="1" applyFont="1" applyFill="1" applyBorder="1" applyAlignment="1">
      <alignment vertical="center"/>
    </xf>
    <xf numFmtId="0" fontId="1" fillId="3" borderId="25" xfId="53" applyFont="1" applyFill="1" applyBorder="1" applyAlignment="1">
      <alignment vertical="center"/>
    </xf>
    <xf numFmtId="0" fontId="4" fillId="3" borderId="63" xfId="53" applyFont="1" applyFill="1" applyBorder="1" applyAlignment="1">
      <alignment horizontal="center" vertical="center" shrinkToFit="1"/>
    </xf>
    <xf numFmtId="0" fontId="1" fillId="3" borderId="24" xfId="53" applyFont="1" applyFill="1" applyBorder="1" applyAlignment="1">
      <alignment horizontal="center" vertical="center" shrinkToFit="1"/>
    </xf>
    <xf numFmtId="0" fontId="1" fillId="3" borderId="6" xfId="53" applyFont="1" applyFill="1" applyBorder="1" applyAlignment="1">
      <alignment horizontal="left" vertical="center" shrinkToFit="1"/>
    </xf>
    <xf numFmtId="184" fontId="1" fillId="3" borderId="0" xfId="53" applyNumberFormat="1" applyFont="1" applyFill="1" applyBorder="1" applyAlignment="1">
      <alignment horizontal="left" vertical="center"/>
    </xf>
    <xf numFmtId="185" fontId="3" fillId="3" borderId="0" xfId="53" applyNumberFormat="1" applyFont="1" applyFill="1" applyBorder="1" applyAlignment="1">
      <alignment horizontal="left" vertical="center"/>
    </xf>
    <xf numFmtId="2" fontId="3" fillId="3" borderId="0" xfId="53" applyNumberFormat="1" applyFont="1" applyFill="1" applyBorder="1" applyAlignment="1">
      <alignment vertical="center"/>
    </xf>
    <xf numFmtId="0" fontId="1" fillId="3" borderId="6" xfId="53" applyFont="1" applyFill="1" applyBorder="1" applyAlignment="1" applyProtection="1">
      <alignment horizontal="left"/>
      <protection hidden="1"/>
    </xf>
    <xf numFmtId="0" fontId="4" fillId="3" borderId="9" xfId="53" applyFont="1" applyFill="1" applyBorder="1" applyAlignment="1">
      <alignment horizontal="right" vertical="top"/>
    </xf>
    <xf numFmtId="0" fontId="1" fillId="3" borderId="0" xfId="53" applyFont="1" applyFill="1" applyBorder="1" applyAlignment="1">
      <alignment horizontal="right" vertical="top"/>
    </xf>
    <xf numFmtId="0" fontId="18" fillId="7" borderId="0" xfId="53" applyFont="1" applyFill="1" applyBorder="1" applyAlignment="1">
      <alignment horizontal="center" vertical="center" shrinkToFit="1"/>
    </xf>
    <xf numFmtId="0" fontId="1" fillId="3" borderId="6" xfId="53" applyFont="1" applyFill="1" applyBorder="1" applyAlignment="1" applyProtection="1">
      <alignment horizontal="left" shrinkToFit="1"/>
      <protection hidden="1"/>
    </xf>
    <xf numFmtId="0" fontId="1" fillId="3" borderId="9" xfId="53" applyFont="1" applyFill="1" applyBorder="1" applyAlignment="1">
      <alignment horizontal="right" vertical="top"/>
    </xf>
    <xf numFmtId="0" fontId="19" fillId="3" borderId="0" xfId="53" applyFont="1" applyFill="1" applyBorder="1" applyAlignment="1">
      <alignment horizontal="left" vertical="top" wrapText="1"/>
    </xf>
    <xf numFmtId="0" fontId="1" fillId="3" borderId="16" xfId="53" applyFont="1" applyFill="1" applyBorder="1" applyAlignment="1" applyProtection="1">
      <alignment horizontal="left" wrapText="1"/>
      <protection hidden="1"/>
    </xf>
    <xf numFmtId="0" fontId="19" fillId="3" borderId="15" xfId="53" applyFont="1" applyFill="1" applyBorder="1" applyAlignment="1">
      <alignment horizontal="left" vertical="top" wrapText="1"/>
    </xf>
    <xf numFmtId="185" fontId="6" fillId="3" borderId="54" xfId="51" applyNumberFormat="1" applyFont="1" applyFill="1" applyBorder="1" applyAlignment="1" applyProtection="1">
      <alignment horizontal="center" shrinkToFit="1"/>
    </xf>
    <xf numFmtId="0" fontId="9" fillId="3" borderId="54" xfId="51" applyFont="1" applyFill="1" applyBorder="1" applyAlignment="1" applyProtection="1">
      <alignment horizontal="center" vertical="center" shrinkToFit="1"/>
    </xf>
    <xf numFmtId="0" fontId="9" fillId="3" borderId="54" xfId="51" applyNumberFormat="1" applyFont="1" applyFill="1" applyBorder="1" applyAlignment="1" applyProtection="1">
      <alignment horizontal="center" shrinkToFit="1"/>
    </xf>
    <xf numFmtId="10" fontId="9" fillId="3" borderId="54" xfId="51" applyNumberFormat="1" applyFont="1" applyFill="1" applyBorder="1" applyAlignment="1" applyProtection="1">
      <alignment shrinkToFit="1"/>
    </xf>
    <xf numFmtId="10" fontId="9" fillId="3" borderId="64" xfId="51" applyNumberFormat="1" applyFont="1" applyFill="1" applyBorder="1" applyAlignment="1" applyProtection="1">
      <alignment shrinkToFit="1"/>
    </xf>
    <xf numFmtId="0" fontId="2" fillId="3" borderId="0" xfId="53" applyFont="1" applyFill="1" applyBorder="1" applyAlignment="1">
      <alignment horizontal="center" vertical="center" wrapText="1"/>
    </xf>
    <xf numFmtId="0" fontId="2" fillId="2" borderId="0" xfId="53" applyFont="1" applyFill="1" applyBorder="1" applyAlignment="1">
      <alignment horizontal="center" vertical="center" wrapText="1"/>
    </xf>
    <xf numFmtId="0" fontId="3" fillId="7" borderId="52" xfId="53" applyNumberFormat="1" applyFont="1" applyFill="1" applyBorder="1" applyAlignment="1" applyProtection="1">
      <alignment horizontal="left" vertical="center" shrinkToFit="1"/>
      <protection locked="0"/>
    </xf>
    <xf numFmtId="0" fontId="1" fillId="3" borderId="53" xfId="53" applyFont="1" applyFill="1" applyBorder="1" applyAlignment="1">
      <alignment vertical="center"/>
    </xf>
    <xf numFmtId="0" fontId="1" fillId="3" borderId="51" xfId="53" applyFont="1" applyFill="1" applyBorder="1" applyAlignment="1">
      <alignment vertical="center"/>
    </xf>
    <xf numFmtId="14" fontId="12" fillId="3" borderId="54" xfId="32" applyNumberFormat="1" applyFont="1" applyFill="1" applyBorder="1" applyAlignment="1" applyProtection="1">
      <alignment horizontal="center" vertical="center" shrinkToFit="1"/>
      <protection hidden="1"/>
    </xf>
    <xf numFmtId="0" fontId="1" fillId="3" borderId="58" xfId="53" applyFont="1" applyFill="1" applyBorder="1" applyAlignment="1">
      <alignment vertical="center"/>
    </xf>
    <xf numFmtId="0" fontId="17" fillId="4" borderId="58" xfId="53" applyFont="1" applyFill="1" applyBorder="1" applyAlignment="1" applyProtection="1">
      <alignment horizontal="center" vertical="center" shrinkToFit="1"/>
      <protection locked="0"/>
    </xf>
    <xf numFmtId="0" fontId="1" fillId="3" borderId="58" xfId="53" applyFont="1" applyFill="1" applyBorder="1" applyAlignment="1">
      <alignment horizontal="center" vertical="center"/>
    </xf>
    <xf numFmtId="0" fontId="1" fillId="3" borderId="65" xfId="53" applyFont="1" applyFill="1" applyBorder="1" applyAlignment="1">
      <alignment vertical="center"/>
    </xf>
    <xf numFmtId="186" fontId="1" fillId="3" borderId="52" xfId="53" applyNumberFormat="1" applyFont="1" applyFill="1" applyBorder="1" applyAlignment="1">
      <alignment horizontal="left" vertical="center"/>
    </xf>
    <xf numFmtId="0" fontId="1" fillId="3" borderId="52" xfId="53" applyFont="1" applyFill="1" applyBorder="1" applyAlignment="1">
      <alignment horizontal="left" vertical="center"/>
    </xf>
    <xf numFmtId="0" fontId="1" fillId="3" borderId="55" xfId="53" applyFont="1" applyFill="1" applyBorder="1" applyAlignment="1">
      <alignment vertical="center"/>
    </xf>
    <xf numFmtId="0" fontId="3" fillId="3" borderId="52" xfId="53" applyFont="1" applyFill="1" applyBorder="1" applyAlignment="1">
      <alignment vertical="center"/>
    </xf>
    <xf numFmtId="0" fontId="1" fillId="3" borderId="65" xfId="53" applyFont="1" applyFill="1" applyBorder="1" applyAlignment="1">
      <alignment horizontal="center" vertical="center" shrinkToFit="1"/>
    </xf>
    <xf numFmtId="186" fontId="1" fillId="3" borderId="52" xfId="53" applyNumberFormat="1" applyFont="1" applyFill="1" applyBorder="1" applyAlignment="1">
      <alignment vertical="center"/>
    </xf>
    <xf numFmtId="0" fontId="19" fillId="3" borderId="52" xfId="53" applyFont="1" applyFill="1" applyBorder="1" applyAlignment="1">
      <alignment horizontal="left" vertical="top" wrapText="1"/>
    </xf>
    <xf numFmtId="0" fontId="19" fillId="3" borderId="55" xfId="53" applyFont="1" applyFill="1" applyBorder="1" applyAlignment="1">
      <alignment horizontal="left" vertical="top" wrapText="1"/>
    </xf>
    <xf numFmtId="0" fontId="1" fillId="4" borderId="58" xfId="53" applyFont="1" applyFill="1" applyBorder="1" applyAlignment="1" applyProtection="1">
      <alignment horizontal="center" vertical="center" wrapText="1"/>
      <protection locked="0"/>
    </xf>
    <xf numFmtId="0" fontId="1" fillId="3" borderId="4" xfId="53" applyFont="1" applyFill="1" applyBorder="1" applyAlignment="1">
      <alignment horizontal="center" vertical="center" wrapText="1"/>
    </xf>
    <xf numFmtId="0" fontId="1" fillId="3" borderId="5" xfId="53" applyFont="1" applyFill="1" applyBorder="1" applyAlignment="1">
      <alignment horizontal="center" vertical="center" wrapText="1"/>
    </xf>
    <xf numFmtId="0" fontId="1" fillId="3" borderId="66" xfId="53" applyFont="1" applyFill="1" applyBorder="1" applyAlignment="1">
      <alignment horizontal="center" vertical="center" wrapText="1"/>
    </xf>
    <xf numFmtId="0" fontId="1" fillId="4" borderId="67" xfId="53" applyFont="1" applyFill="1" applyBorder="1" applyAlignment="1" applyProtection="1">
      <alignment horizontal="center" vertical="center" wrapText="1"/>
      <protection locked="0"/>
    </xf>
    <xf numFmtId="0" fontId="1" fillId="4" borderId="37" xfId="53" applyFont="1" applyFill="1" applyBorder="1" applyAlignment="1" applyProtection="1">
      <alignment horizontal="center" vertical="center" wrapText="1"/>
      <protection locked="0"/>
    </xf>
    <xf numFmtId="0" fontId="1" fillId="3" borderId="4" xfId="53" applyFont="1" applyFill="1" applyBorder="1" applyAlignment="1">
      <alignment horizontal="center" vertical="center"/>
    </xf>
    <xf numFmtId="0" fontId="4" fillId="3" borderId="5" xfId="53" applyFont="1" applyFill="1" applyBorder="1" applyAlignment="1">
      <alignment horizontal="center" vertical="center"/>
    </xf>
    <xf numFmtId="0" fontId="1" fillId="4" borderId="41" xfId="53" applyFont="1" applyFill="1" applyBorder="1" applyAlignment="1" applyProtection="1">
      <alignment horizontal="center" vertical="center"/>
      <protection locked="0"/>
    </xf>
    <xf numFmtId="0" fontId="4" fillId="3" borderId="41" xfId="53" applyFont="1" applyFill="1" applyBorder="1" applyAlignment="1">
      <alignment horizontal="center" vertical="center"/>
    </xf>
    <xf numFmtId="184" fontId="2" fillId="3" borderId="2" xfId="53" applyNumberFormat="1" applyFont="1" applyFill="1" applyBorder="1" applyAlignment="1" applyProtection="1">
      <alignment horizontal="center" vertical="center"/>
      <protection locked="0"/>
    </xf>
    <xf numFmtId="0" fontId="16" fillId="7" borderId="9" xfId="51" applyFont="1" applyFill="1" applyBorder="1" applyProtection="1"/>
    <xf numFmtId="0" fontId="16" fillId="7" borderId="0" xfId="51" applyFont="1" applyFill="1" applyBorder="1" applyProtection="1"/>
    <xf numFmtId="0" fontId="20" fillId="7" borderId="0" xfId="51" applyNumberFormat="1" applyFont="1" applyFill="1" applyBorder="1" applyAlignment="1" applyProtection="1">
      <alignment horizontal="center"/>
    </xf>
    <xf numFmtId="0" fontId="20" fillId="7" borderId="0" xfId="51" applyNumberFormat="1" applyFont="1" applyFill="1" applyBorder="1" applyProtection="1"/>
    <xf numFmtId="0" fontId="16" fillId="7" borderId="50" xfId="51" applyFont="1" applyFill="1" applyBorder="1" applyProtection="1"/>
    <xf numFmtId="0" fontId="16" fillId="7" borderId="15" xfId="51" applyFont="1" applyFill="1" applyBorder="1" applyProtection="1"/>
    <xf numFmtId="0" fontId="20" fillId="7" borderId="15" xfId="51" applyNumberFormat="1" applyFont="1" applyFill="1" applyBorder="1" applyAlignment="1" applyProtection="1">
      <alignment horizontal="center"/>
    </xf>
    <xf numFmtId="0" fontId="20" fillId="7" borderId="15" xfId="51" applyNumberFormat="1" applyFont="1" applyFill="1" applyBorder="1" applyProtection="1"/>
    <xf numFmtId="0" fontId="1" fillId="3" borderId="1" xfId="53" applyFont="1" applyFill="1" applyBorder="1" applyAlignment="1">
      <alignment horizontal="right" vertical="center"/>
    </xf>
    <xf numFmtId="0" fontId="4" fillId="3" borderId="15" xfId="51" applyFont="1" applyFill="1" applyBorder="1" applyAlignment="1" applyProtection="1">
      <alignment horizontal="center" vertical="center" wrapText="1"/>
    </xf>
    <xf numFmtId="0" fontId="21" fillId="8" borderId="0" xfId="51" applyFont="1" applyFill="1" applyBorder="1" applyAlignment="1" applyProtection="1">
      <alignment horizontal="center" wrapText="1" shrinkToFit="1"/>
    </xf>
    <xf numFmtId="0" fontId="4" fillId="3" borderId="15" xfId="51" applyFont="1" applyFill="1" applyBorder="1" applyAlignment="1" applyProtection="1">
      <alignment horizontal="center" wrapText="1"/>
    </xf>
    <xf numFmtId="0" fontId="4" fillId="3" borderId="44" xfId="51" applyFont="1" applyFill="1" applyBorder="1" applyAlignment="1" applyProtection="1">
      <alignment horizontal="center" wrapText="1"/>
    </xf>
    <xf numFmtId="0" fontId="4" fillId="3" borderId="44" xfId="51" applyFont="1" applyFill="1" applyBorder="1" applyAlignment="1" applyProtection="1">
      <alignment horizontal="left" wrapText="1"/>
    </xf>
    <xf numFmtId="177" fontId="4" fillId="3" borderId="44" xfId="51" applyNumberFormat="1" applyFont="1" applyFill="1" applyBorder="1" applyAlignment="1" applyProtection="1">
      <alignment horizontal="center" wrapText="1"/>
    </xf>
    <xf numFmtId="0" fontId="22" fillId="3" borderId="7" xfId="51" applyFont="1" applyFill="1" applyBorder="1" applyAlignment="1" applyProtection="1">
      <alignment horizontal="left" shrinkToFit="1"/>
    </xf>
    <xf numFmtId="0" fontId="22" fillId="3" borderId="20" xfId="51" applyFont="1" applyFill="1" applyBorder="1" applyAlignment="1" applyProtection="1">
      <alignment horizontal="left" shrinkToFit="1"/>
    </xf>
    <xf numFmtId="0" fontId="22" fillId="3" borderId="8" xfId="51" applyFont="1" applyFill="1" applyBorder="1" applyAlignment="1" applyProtection="1">
      <alignment horizontal="left" shrinkToFit="1"/>
    </xf>
    <xf numFmtId="0" fontId="4" fillId="3" borderId="44" xfId="51" applyNumberFormat="1" applyFont="1" applyFill="1" applyBorder="1" applyAlignment="1" applyProtection="1">
      <alignment horizontal="center" wrapText="1" shrinkToFit="1"/>
    </xf>
    <xf numFmtId="0" fontId="4" fillId="3" borderId="7" xfId="51" applyNumberFormat="1" applyFont="1" applyFill="1" applyBorder="1" applyAlignment="1" applyProtection="1">
      <alignment horizontal="center" wrapText="1"/>
    </xf>
    <xf numFmtId="0" fontId="1" fillId="3" borderId="8" xfId="51" applyNumberFormat="1" applyFont="1" applyFill="1" applyBorder="1" applyAlignment="1" applyProtection="1">
      <alignment horizontal="center" wrapText="1"/>
    </xf>
    <xf numFmtId="0" fontId="4" fillId="3" borderId="44" xfId="51" applyNumberFormat="1" applyFont="1" applyFill="1" applyBorder="1" applyAlignment="1" applyProtection="1">
      <alignment horizontal="left" wrapText="1" shrinkToFit="1"/>
    </xf>
    <xf numFmtId="0" fontId="4" fillId="3" borderId="44" xfId="51" applyNumberFormat="1" applyFont="1" applyFill="1" applyBorder="1" applyAlignment="1" applyProtection="1">
      <alignment horizontal="left" shrinkToFit="1"/>
    </xf>
    <xf numFmtId="14" fontId="1" fillId="4" borderId="41" xfId="53" applyNumberFormat="1" applyFont="1" applyFill="1" applyBorder="1" applyAlignment="1" applyProtection="1">
      <alignment horizontal="center" vertical="center"/>
      <protection locked="0"/>
    </xf>
    <xf numFmtId="0" fontId="20" fillId="7" borderId="6" xfId="51" applyNumberFormat="1" applyFont="1" applyFill="1" applyBorder="1" applyProtection="1"/>
    <xf numFmtId="0" fontId="20" fillId="7" borderId="16" xfId="51" applyNumberFormat="1" applyFont="1" applyFill="1" applyBorder="1" applyProtection="1"/>
    <xf numFmtId="0" fontId="3" fillId="3" borderId="0" xfId="53" applyFont="1" applyFill="1" applyBorder="1" applyAlignment="1" applyProtection="1">
      <alignment horizontal="center" vertical="center"/>
      <protection hidden="1"/>
    </xf>
    <xf numFmtId="0" fontId="23" fillId="3" borderId="7" xfId="53" applyNumberFormat="1" applyFont="1" applyFill="1" applyBorder="1" applyAlignment="1">
      <alignment horizontal="left" vertical="center" shrinkToFit="1"/>
    </xf>
    <xf numFmtId="0" fontId="23" fillId="3" borderId="8" xfId="53" applyNumberFormat="1" applyFont="1" applyFill="1" applyBorder="1" applyAlignment="1">
      <alignment horizontal="left" vertical="center" shrinkToFit="1"/>
    </xf>
    <xf numFmtId="0" fontId="22" fillId="3" borderId="9" xfId="53" applyFont="1" applyFill="1" applyBorder="1" applyAlignment="1">
      <alignment horizontal="right" vertical="center" wrapText="1"/>
    </xf>
    <xf numFmtId="0" fontId="23" fillId="3" borderId="6" xfId="53" applyFont="1" applyFill="1" applyBorder="1" applyAlignment="1">
      <alignment horizontal="right" vertical="center"/>
    </xf>
    <xf numFmtId="0" fontId="23" fillId="3" borderId="0" xfId="53" applyNumberFormat="1" applyFont="1" applyFill="1" applyBorder="1" applyAlignment="1">
      <alignment horizontal="left" vertical="center" shrinkToFit="1"/>
    </xf>
    <xf numFmtId="0" fontId="23" fillId="3" borderId="0" xfId="53" applyFont="1" applyFill="1" applyBorder="1" applyAlignment="1">
      <alignment horizontal="right" vertical="center"/>
    </xf>
    <xf numFmtId="0" fontId="23" fillId="3" borderId="6" xfId="53" applyFont="1" applyFill="1" applyBorder="1" applyAlignment="1">
      <alignment horizontal="right" vertical="center" wrapText="1"/>
    </xf>
    <xf numFmtId="0" fontId="23" fillId="3" borderId="44" xfId="53" applyNumberFormat="1" applyFont="1" applyFill="1" applyBorder="1" applyAlignment="1">
      <alignment vertical="center" shrinkToFit="1"/>
    </xf>
    <xf numFmtId="0" fontId="23" fillId="3" borderId="0" xfId="53" applyNumberFormat="1" applyFont="1" applyFill="1" applyBorder="1" applyAlignment="1">
      <alignment vertical="center" shrinkToFit="1"/>
    </xf>
    <xf numFmtId="0" fontId="22" fillId="3" borderId="0" xfId="53" applyFont="1" applyFill="1" applyBorder="1" applyAlignment="1">
      <alignment horizontal="right" vertical="center" wrapText="1"/>
    </xf>
    <xf numFmtId="0" fontId="23" fillId="3" borderId="0" xfId="53" applyFont="1" applyFill="1" applyBorder="1" applyAlignment="1">
      <alignment vertical="center"/>
    </xf>
    <xf numFmtId="0" fontId="22" fillId="3" borderId="0" xfId="53" applyFont="1" applyFill="1" applyBorder="1" applyAlignment="1">
      <alignment horizontal="right" vertical="center" wrapText="1" shrinkToFit="1"/>
    </xf>
    <xf numFmtId="0" fontId="23" fillId="3" borderId="0" xfId="53" applyFont="1" applyFill="1" applyBorder="1" applyAlignment="1">
      <alignment horizontal="right" vertical="center" wrapText="1" shrinkToFit="1"/>
    </xf>
    <xf numFmtId="0" fontId="1" fillId="3" borderId="0" xfId="51" applyFont="1" applyFill="1" applyBorder="1" applyProtection="1"/>
    <xf numFmtId="0" fontId="4" fillId="3" borderId="0" xfId="51" applyFont="1" applyFill="1" applyBorder="1" applyAlignment="1" applyProtection="1">
      <alignment wrapText="1"/>
    </xf>
    <xf numFmtId="0" fontId="4" fillId="3" borderId="63" xfId="51" applyFont="1" applyFill="1" applyBorder="1" applyAlignment="1" applyProtection="1">
      <alignment horizontal="center" vertical="center" wrapText="1"/>
    </xf>
    <xf numFmtId="0" fontId="4" fillId="3" borderId="25" xfId="51" applyFont="1" applyFill="1" applyBorder="1" applyAlignment="1" applyProtection="1">
      <alignment horizontal="center" vertical="center" wrapText="1"/>
    </xf>
    <xf numFmtId="0" fontId="1" fillId="3" borderId="0" xfId="51" applyFont="1" applyFill="1" applyBorder="1" applyAlignment="1" applyProtection="1">
      <alignment wrapText="1"/>
    </xf>
    <xf numFmtId="0" fontId="4" fillId="3" borderId="9" xfId="51" applyFont="1" applyFill="1" applyBorder="1" applyAlignment="1" applyProtection="1">
      <alignment horizontal="center" vertical="center" wrapText="1"/>
    </xf>
    <xf numFmtId="0" fontId="4" fillId="3" borderId="6" xfId="51" applyFont="1" applyFill="1" applyBorder="1" applyAlignment="1" applyProtection="1">
      <alignment horizontal="center" vertical="center" wrapText="1"/>
    </xf>
    <xf numFmtId="0" fontId="4" fillId="3" borderId="50" xfId="51" applyFont="1" applyFill="1" applyBorder="1" applyAlignment="1" applyProtection="1">
      <alignment horizontal="center" vertical="center" wrapText="1"/>
    </xf>
    <xf numFmtId="0" fontId="4" fillId="3" borderId="16" xfId="51" applyFont="1" applyFill="1" applyBorder="1" applyAlignment="1" applyProtection="1">
      <alignment horizontal="center" vertical="center" wrapText="1"/>
    </xf>
    <xf numFmtId="177" fontId="4" fillId="3" borderId="7" xfId="51" applyNumberFormat="1" applyFont="1" applyFill="1" applyBorder="1" applyAlignment="1" applyProtection="1">
      <alignment horizontal="center" wrapText="1"/>
    </xf>
    <xf numFmtId="176" fontId="1" fillId="3" borderId="63" xfId="51" applyNumberFormat="1" applyFont="1" applyFill="1" applyBorder="1" applyAlignment="1" applyProtection="1"/>
    <xf numFmtId="176" fontId="1" fillId="3" borderId="25" xfId="51" applyNumberFormat="1" applyFont="1" applyFill="1" applyBorder="1" applyAlignment="1" applyProtection="1"/>
    <xf numFmtId="176" fontId="1" fillId="3" borderId="9" xfId="51" applyNumberFormat="1" applyFont="1" applyFill="1" applyBorder="1" applyAlignment="1" applyProtection="1">
      <alignment horizontal="right" shrinkToFit="1"/>
    </xf>
    <xf numFmtId="176" fontId="11" fillId="3" borderId="6" xfId="51" applyNumberFormat="1" applyFont="1" applyFill="1" applyBorder="1" applyAlignment="1" applyProtection="1"/>
    <xf numFmtId="176" fontId="1" fillId="3" borderId="50" xfId="51" applyNumberFormat="1" applyFont="1" applyFill="1" applyBorder="1" applyAlignment="1" applyProtection="1"/>
    <xf numFmtId="176" fontId="1" fillId="3" borderId="16" xfId="51" applyNumberFormat="1" applyFont="1" applyFill="1" applyBorder="1" applyAlignment="1" applyProtection="1"/>
    <xf numFmtId="0" fontId="1" fillId="3" borderId="44" xfId="51" applyNumberFormat="1" applyFont="1" applyFill="1" applyBorder="1" applyAlignment="1" applyProtection="1">
      <alignment horizontal="center" shrinkToFit="1"/>
    </xf>
    <xf numFmtId="0" fontId="1" fillId="3" borderId="63" xfId="51" applyNumberFormat="1" applyFont="1" applyFill="1" applyBorder="1" applyAlignment="1" applyProtection="1">
      <alignment horizontal="center" shrinkToFit="1"/>
    </xf>
    <xf numFmtId="0" fontId="1" fillId="3" borderId="25" xfId="51" applyNumberFormat="1" applyFont="1" applyFill="1" applyBorder="1" applyAlignment="1" applyProtection="1">
      <alignment horizontal="center" shrinkToFit="1"/>
    </xf>
    <xf numFmtId="0" fontId="1" fillId="3" borderId="48" xfId="51" applyNumberFormat="1" applyFont="1" applyFill="1" applyBorder="1" applyAlignment="1" applyProtection="1">
      <alignment horizontal="center" wrapText="1" shrinkToFit="1"/>
    </xf>
    <xf numFmtId="0" fontId="1" fillId="3" borderId="48" xfId="51" applyNumberFormat="1" applyFont="1" applyFill="1" applyBorder="1" applyAlignment="1" applyProtection="1">
      <alignment horizontal="center" shrinkToFit="1"/>
    </xf>
    <xf numFmtId="10" fontId="24" fillId="3" borderId="68" xfId="51" applyNumberFormat="1" applyFont="1" applyFill="1" applyBorder="1" applyAlignment="1" applyProtection="1">
      <alignment horizontal="center" wrapText="1"/>
    </xf>
    <xf numFmtId="10" fontId="24" fillId="3" borderId="69" xfId="51" applyNumberFormat="1" applyFont="1" applyFill="1" applyBorder="1" applyAlignment="1" applyProtection="1">
      <alignment horizontal="center" wrapText="1"/>
    </xf>
    <xf numFmtId="10" fontId="24" fillId="3" borderId="70" xfId="51" applyNumberFormat="1" applyFont="1" applyFill="1" applyBorder="1" applyAlignment="1" applyProtection="1">
      <alignment horizontal="center" wrapText="1"/>
    </xf>
    <xf numFmtId="10" fontId="4" fillId="3" borderId="35" xfId="51" applyNumberFormat="1" applyFont="1" applyFill="1" applyBorder="1" applyAlignment="1" applyProtection="1">
      <alignment horizontal="center" wrapText="1"/>
    </xf>
    <xf numFmtId="10" fontId="4" fillId="3" borderId="44" xfId="51" applyNumberFormat="1" applyFont="1" applyFill="1" applyBorder="1" applyAlignment="1" applyProtection="1">
      <alignment horizontal="center" wrapText="1"/>
    </xf>
    <xf numFmtId="0" fontId="1" fillId="4" borderId="71" xfId="53" applyFont="1" applyFill="1" applyBorder="1" applyAlignment="1" applyProtection="1">
      <alignment horizontal="center" vertical="center" wrapText="1"/>
      <protection locked="0"/>
    </xf>
    <xf numFmtId="0" fontId="1" fillId="4" borderId="60" xfId="53" applyFont="1" applyFill="1" applyBorder="1" applyAlignment="1" applyProtection="1">
      <alignment horizontal="center" vertical="center"/>
      <protection locked="0"/>
    </xf>
    <xf numFmtId="0" fontId="12" fillId="3" borderId="51" xfId="32" applyFont="1" applyFill="1" applyBorder="1" applyAlignment="1" applyProtection="1">
      <alignment horizontal="center" vertical="center" shrinkToFit="1"/>
      <protection hidden="1"/>
    </xf>
    <xf numFmtId="0" fontId="25" fillId="3" borderId="7" xfId="51" applyNumberFormat="1" applyFont="1" applyFill="1" applyBorder="1" applyAlignment="1" applyProtection="1">
      <alignment horizontal="left"/>
    </xf>
    <xf numFmtId="0" fontId="25" fillId="3" borderId="20" xfId="51" applyNumberFormat="1" applyFont="1" applyFill="1" applyBorder="1" applyAlignment="1" applyProtection="1">
      <alignment horizontal="left"/>
    </xf>
    <xf numFmtId="0" fontId="25" fillId="3" borderId="8" xfId="51" applyNumberFormat="1" applyFont="1" applyFill="1" applyBorder="1" applyAlignment="1" applyProtection="1">
      <alignment horizontal="left"/>
    </xf>
    <xf numFmtId="189" fontId="4" fillId="3" borderId="44" xfId="51" applyNumberFormat="1" applyFont="1" applyFill="1" applyBorder="1" applyAlignment="1" applyProtection="1">
      <alignment horizontal="center" wrapText="1"/>
    </xf>
    <xf numFmtId="0" fontId="26" fillId="3" borderId="0" xfId="53" applyFont="1" applyFill="1" applyBorder="1" applyAlignment="1">
      <alignment vertical="center"/>
    </xf>
    <xf numFmtId="0" fontId="4" fillId="3" borderId="5" xfId="53" applyFont="1" applyFill="1" applyBorder="1" applyAlignment="1">
      <alignment horizontal="left" vertical="center" wrapText="1"/>
    </xf>
    <xf numFmtId="0" fontId="4" fillId="3" borderId="2" xfId="53" applyFont="1" applyFill="1" applyBorder="1" applyAlignment="1">
      <alignment horizontal="left" vertical="center" wrapText="1"/>
    </xf>
    <xf numFmtId="0" fontId="4" fillId="3" borderId="2" xfId="53" applyFont="1" applyFill="1" applyBorder="1" applyAlignment="1">
      <alignment vertical="center" wrapText="1"/>
    </xf>
    <xf numFmtId="0" fontId="27" fillId="2" borderId="0" xfId="53" applyFont="1" applyFill="1" applyBorder="1" applyAlignment="1" applyProtection="1">
      <alignment horizontal="center" vertical="center" wrapText="1"/>
      <protection locked="0"/>
    </xf>
    <xf numFmtId="0" fontId="4" fillId="3" borderId="4" xfId="53" applyFont="1" applyFill="1" applyBorder="1" applyAlignment="1">
      <alignment horizontal="right" vertical="center" wrapText="1"/>
    </xf>
    <xf numFmtId="0" fontId="28" fillId="3" borderId="5" xfId="53" applyFont="1" applyFill="1" applyBorder="1" applyAlignment="1">
      <alignment horizontal="center" vertical="center"/>
    </xf>
    <xf numFmtId="0" fontId="1" fillId="4" borderId="50" xfId="53" applyFont="1" applyFill="1" applyBorder="1" applyAlignment="1" applyProtection="1">
      <alignment horizontal="center" vertical="center" wrapText="1"/>
      <protection locked="0"/>
    </xf>
    <xf numFmtId="0" fontId="1" fillId="4" borderId="15" xfId="53" applyFont="1" applyFill="1" applyBorder="1" applyAlignment="1" applyProtection="1">
      <alignment horizontal="center" vertical="center" wrapText="1"/>
      <protection locked="0"/>
    </xf>
    <xf numFmtId="0" fontId="4" fillId="3" borderId="41" xfId="53" applyFont="1" applyFill="1" applyBorder="1" applyAlignment="1">
      <alignment horizontal="right" vertical="center"/>
    </xf>
    <xf numFmtId="0" fontId="29" fillId="7" borderId="5" xfId="53" applyFont="1" applyFill="1" applyBorder="1" applyAlignment="1" applyProtection="1">
      <alignment vertical="center"/>
      <protection locked="0"/>
    </xf>
    <xf numFmtId="0" fontId="4" fillId="3" borderId="5" xfId="53" applyFont="1" applyFill="1" applyBorder="1" applyAlignment="1">
      <alignment horizontal="right" vertical="center" wrapText="1"/>
    </xf>
    <xf numFmtId="179" fontId="1" fillId="8" borderId="5" xfId="53" applyNumberFormat="1" applyFont="1" applyFill="1" applyBorder="1" applyAlignment="1">
      <alignment vertical="center" shrinkToFit="1"/>
    </xf>
    <xf numFmtId="0" fontId="11" fillId="3" borderId="2" xfId="51" applyFont="1" applyFill="1" applyBorder="1" applyAlignment="1" applyProtection="1">
      <alignment wrapText="1"/>
    </xf>
    <xf numFmtId="0" fontId="1" fillId="3" borderId="0" xfId="53" applyFont="1" applyFill="1" applyBorder="1" applyAlignment="1">
      <alignment horizontal="right" vertical="center" wrapText="1"/>
    </xf>
    <xf numFmtId="0" fontId="1" fillId="3" borderId="44" xfId="51" applyNumberFormat="1" applyFont="1" applyFill="1" applyBorder="1" applyAlignment="1" applyProtection="1">
      <alignment horizontal="center" wrapText="1" shrinkToFit="1"/>
    </xf>
    <xf numFmtId="10" fontId="1" fillId="3" borderId="63" xfId="53" applyNumberFormat="1" applyFont="1" applyFill="1" applyBorder="1" applyAlignment="1">
      <alignment horizontal="center" vertical="center"/>
    </xf>
    <xf numFmtId="0" fontId="1" fillId="3" borderId="16" xfId="53" applyFont="1" applyFill="1" applyBorder="1" applyAlignment="1">
      <alignment horizontal="center" vertical="center"/>
    </xf>
    <xf numFmtId="0" fontId="27" fillId="3" borderId="0" xfId="53" applyFont="1" applyFill="1" applyBorder="1" applyAlignment="1">
      <alignment vertical="center"/>
    </xf>
    <xf numFmtId="0" fontId="27" fillId="3" borderId="0" xfId="53" applyFont="1" applyFill="1" applyBorder="1" applyAlignment="1">
      <alignment horizontal="right" vertical="center" wrapText="1"/>
    </xf>
    <xf numFmtId="0" fontId="27" fillId="9" borderId="0" xfId="53" applyFont="1" applyFill="1" applyBorder="1" applyAlignment="1">
      <alignment horizontal="center" vertical="center"/>
    </xf>
    <xf numFmtId="0" fontId="30" fillId="3" borderId="5" xfId="53" applyFont="1" applyFill="1" applyBorder="1" applyAlignment="1">
      <alignment vertical="center"/>
    </xf>
    <xf numFmtId="0" fontId="1" fillId="4" borderId="41" xfId="53" applyFont="1" applyFill="1" applyBorder="1" applyAlignment="1" applyProtection="1">
      <alignment vertical="center"/>
      <protection locked="0"/>
    </xf>
    <xf numFmtId="0" fontId="1" fillId="3" borderId="54" xfId="51" applyNumberFormat="1" applyFont="1" applyFill="1" applyBorder="1" applyAlignment="1" applyProtection="1">
      <alignment horizontal="center" shrinkToFit="1"/>
    </xf>
    <xf numFmtId="0" fontId="1" fillId="3" borderId="65" xfId="53" applyFont="1" applyFill="1" applyBorder="1" applyAlignment="1">
      <alignment horizontal="center" vertical="center"/>
    </xf>
    <xf numFmtId="0" fontId="1" fillId="3" borderId="55" xfId="53" applyFont="1" applyFill="1" applyBorder="1" applyAlignment="1">
      <alignment horizontal="center" vertical="center"/>
    </xf>
    <xf numFmtId="0" fontId="27" fillId="9" borderId="52" xfId="53" applyFont="1" applyFill="1" applyBorder="1" applyAlignment="1">
      <alignment horizontal="center" vertical="center"/>
    </xf>
    <xf numFmtId="0" fontId="30" fillId="3" borderId="53" xfId="53" applyFont="1" applyFill="1" applyBorder="1" applyAlignment="1">
      <alignment vertical="center"/>
    </xf>
    <xf numFmtId="0" fontId="1" fillId="4" borderId="55" xfId="53" applyFont="1" applyFill="1" applyBorder="1" applyAlignment="1" applyProtection="1">
      <alignment horizontal="center" vertical="center" wrapText="1"/>
      <protection locked="0"/>
    </xf>
    <xf numFmtId="0" fontId="1" fillId="4" borderId="60" xfId="53" applyFont="1" applyFill="1" applyBorder="1" applyAlignment="1" applyProtection="1">
      <alignment vertical="center"/>
      <protection locked="0"/>
    </xf>
    <xf numFmtId="0" fontId="1" fillId="3" borderId="14" xfId="53" applyFont="1" applyFill="1" applyBorder="1" applyAlignment="1" quotePrefix="1">
      <alignment horizontal="center" vertical="center"/>
    </xf>
    <xf numFmtId="0" fontId="1" fillId="3" borderId="0" xfId="53" applyFont="1" applyFill="1" applyBorder="1" applyAlignment="1" quotePrefix="1">
      <alignment horizontal="right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Normal_Cor40WWPSQ0038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Normal_Variable Gage R&amp;R Spreadsheet" xfId="51"/>
    <cellStyle name="常规 2" xfId="52"/>
    <cellStyle name="常规_GR R 分析" xfId="53"/>
    <cellStyle name="一般_X-R範例檔" xfId="54"/>
  </cellStyles>
  <dxfs count="6">
    <dxf>
      <fill>
        <patternFill patternType="solid">
          <bgColor theme="0"/>
        </patternFill>
      </fill>
    </dxf>
    <dxf>
      <fill>
        <patternFill patternType="solid">
          <bgColor indexed="10"/>
        </patternFill>
      </fill>
    </dxf>
    <dxf>
      <fill>
        <patternFill patternType="solid">
          <bgColor indexed="57"/>
        </patternFill>
      </fill>
    </dxf>
    <dxf>
      <font>
        <b val="0"/>
        <i val="0"/>
        <color indexed="55"/>
      </font>
      <fill>
        <patternFill patternType="solid">
          <bgColor indexed="22"/>
        </patternFill>
      </fill>
    </dxf>
    <dxf>
      <fill>
        <patternFill patternType="solid">
          <bgColor indexed="11"/>
        </patternFill>
      </fill>
    </dxf>
    <dxf>
      <fill>
        <patternFill patternType="solid">
          <bgColor indexed="13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3750643730655"/>
          <c:y val="0.106383715534377"/>
          <c:w val="0.82861137059193"/>
          <c:h val="0.81560848576356"/>
        </c:manualLayout>
      </c:layout>
      <c:lineChart>
        <c:grouping val="standard"/>
        <c:varyColors val="0"/>
        <c:ser>
          <c:idx val="0"/>
          <c:order val="0"/>
          <c:tx>
            <c:strRef>
              <c:f>'GR&amp;R（msa）'!$B$19</c:f>
              <c:strCache>
                <c:ptCount val="1"/>
                <c:pt idx="0">
                  <c:v>A</c:v>
                </c:pt>
              </c:strCache>
            </c:strRef>
          </c:tx>
          <c:spPr>
            <a:ln w="3175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'GR&amp;R（msa）'!$D$46:$N$46</c:f>
              <c:numCache>
                <c:formatCode>General</c:formatCod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'GR&amp;R（msa）'!$E$22:$N$22</c:f>
              <c:numCache>
                <c:formatCode>0.00000_ </c:formatCode>
                <c:ptCount val="10"/>
                <c:pt idx="0">
                  <c:v>0.446666666666667</c:v>
                </c:pt>
                <c:pt idx="1">
                  <c:v>-0.606666666666667</c:v>
                </c:pt>
                <c:pt idx="2">
                  <c:v>1.26</c:v>
                </c:pt>
                <c:pt idx="3">
                  <c:v>0.536666666666667</c:v>
                </c:pt>
                <c:pt idx="4">
                  <c:v>-0.853333333333333</c:v>
                </c:pt>
                <c:pt idx="5">
                  <c:v>-0.1</c:v>
                </c:pt>
                <c:pt idx="6">
                  <c:v>0.666666666666667</c:v>
                </c:pt>
                <c:pt idx="7">
                  <c:v>-0.226666666666667</c:v>
                </c:pt>
                <c:pt idx="8">
                  <c:v>2.08666666666667</c:v>
                </c:pt>
                <c:pt idx="9">
                  <c:v>-1.30666666666667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'GR&amp;R（msa）'!$D$47</c:f>
              <c:strCache>
                <c:ptCount val="1"/>
                <c:pt idx="0">
                  <c:v>UCLx</c:v>
                </c:pt>
              </c:strCache>
            </c:strRef>
          </c:tx>
          <c:spPr>
            <a:ln w="3175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'GR&amp;R（msa）'!$D$46:$N$46</c:f>
              <c:numCache>
                <c:formatCode>General</c:formatCod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'GR&amp;R（msa）'!$E$47:$N$47</c:f>
              <c:numCache>
                <c:formatCode>0.0000</c:formatCode>
                <c:ptCount val="10"/>
                <c:pt idx="0">
                  <c:v>0.350969444444444</c:v>
                </c:pt>
                <c:pt idx="1">
                  <c:v>0.350969444444444</c:v>
                </c:pt>
                <c:pt idx="2">
                  <c:v>0.350969444444444</c:v>
                </c:pt>
                <c:pt idx="3">
                  <c:v>0.350969444444444</c:v>
                </c:pt>
                <c:pt idx="4">
                  <c:v>0.350969444444444</c:v>
                </c:pt>
                <c:pt idx="5">
                  <c:v>0.350969444444444</c:v>
                </c:pt>
                <c:pt idx="6">
                  <c:v>0.350969444444444</c:v>
                </c:pt>
                <c:pt idx="7">
                  <c:v>0.350969444444444</c:v>
                </c:pt>
                <c:pt idx="8">
                  <c:v>0.350969444444444</c:v>
                </c:pt>
                <c:pt idx="9">
                  <c:v>0.350969444444444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'GR&amp;R（msa）'!$D$48</c:f>
              <c:strCache>
                <c:ptCount val="1"/>
                <c:pt idx="0">
                  <c:v>LCLx</c:v>
                </c:pt>
              </c:strCache>
            </c:strRef>
          </c:tx>
          <c:spPr>
            <a:ln w="3175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'GR&amp;R（msa）'!$D$46:$N$46</c:f>
              <c:numCache>
                <c:formatCode>General</c:formatCod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'GR&amp;R（msa）'!$E$48:$N$48</c:f>
              <c:numCache>
                <c:formatCode>0.0000</c:formatCode>
                <c:ptCount val="10"/>
                <c:pt idx="0">
                  <c:v>-0.348080555555556</c:v>
                </c:pt>
                <c:pt idx="1">
                  <c:v>-0.348080555555556</c:v>
                </c:pt>
                <c:pt idx="2">
                  <c:v>-0.348080555555556</c:v>
                </c:pt>
                <c:pt idx="3">
                  <c:v>-0.348080555555556</c:v>
                </c:pt>
                <c:pt idx="4">
                  <c:v>-0.348080555555556</c:v>
                </c:pt>
                <c:pt idx="5">
                  <c:v>-0.348080555555556</c:v>
                </c:pt>
                <c:pt idx="6">
                  <c:v>-0.348080555555556</c:v>
                </c:pt>
                <c:pt idx="7">
                  <c:v>-0.348080555555556</c:v>
                </c:pt>
                <c:pt idx="8">
                  <c:v>-0.348080555555556</c:v>
                </c:pt>
                <c:pt idx="9">
                  <c:v>-0.348080555555556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'GR&amp;R（msa）'!$B$25</c:f>
              <c:strCache>
                <c:ptCount val="1"/>
                <c:pt idx="0">
                  <c:v>B</c:v>
                </c:pt>
              </c:strCache>
            </c:strRef>
          </c:tx>
          <c:spPr>
            <a:ln w="3175" cap="rnd" cmpd="sng" algn="ctr">
              <a:solidFill>
                <a:schemeClr val="accent3">
                  <a:lumMod val="50000"/>
                </a:schemeClr>
              </a:solidFill>
              <a:prstDash val="solid"/>
              <a:round/>
            </a:ln>
          </c:spPr>
          <c:marker>
            <c:symbol val="x"/>
            <c:size val="3"/>
            <c:spPr>
              <a:noFill/>
              <a:ln w="9525" cap="flat" cmpd="sng" algn="ctr">
                <a:solidFill>
                  <a:schemeClr val="accent3">
                    <a:lumMod val="50000"/>
                  </a:schemeClr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'GR&amp;R（msa）'!$E$28:$N$28</c:f>
              <c:numCache>
                <c:formatCode>0.00000_ </c:formatCode>
                <c:ptCount val="10"/>
                <c:pt idx="0">
                  <c:v>0.133333333333333</c:v>
                </c:pt>
                <c:pt idx="1">
                  <c:v>-0.79</c:v>
                </c:pt>
                <c:pt idx="2">
                  <c:v>1.15666666666667</c:v>
                </c:pt>
                <c:pt idx="3">
                  <c:v>0.413333333333333</c:v>
                </c:pt>
                <c:pt idx="4">
                  <c:v>-1.01333333333333</c:v>
                </c:pt>
                <c:pt idx="5">
                  <c:v>0.0266666666666667</c:v>
                </c:pt>
                <c:pt idx="6">
                  <c:v>0.616666666666667</c:v>
                </c:pt>
                <c:pt idx="7">
                  <c:v>-0.296666666666667</c:v>
                </c:pt>
                <c:pt idx="8">
                  <c:v>2.03666666666667</c:v>
                </c:pt>
                <c:pt idx="9">
                  <c:v>-1.6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'GR&amp;R（msa）'!$B$31</c:f>
              <c:strCache>
                <c:ptCount val="1"/>
                <c:pt idx="0">
                  <c:v>C</c:v>
                </c:pt>
              </c:strCache>
            </c:strRef>
          </c:tx>
          <c:spPr>
            <a:ln w="3175" cap="rnd" cmpd="sng" algn="ctr">
              <a:solidFill>
                <a:srgbClr val="800080"/>
              </a:solidFill>
              <a:prstDash val="solid"/>
              <a:round/>
            </a:ln>
          </c:spPr>
          <c:marker>
            <c:symbol val="star"/>
            <c:size val="3"/>
            <c:spPr>
              <a:noFill/>
              <a:ln w="9525" cap="flat" cmpd="sng" algn="ctr">
                <a:solidFill>
                  <a:srgbClr val="800080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'GR&amp;R（msa）'!$E$34:$N$34</c:f>
              <c:numCache>
                <c:formatCode>0.00000_ </c:formatCode>
                <c:ptCount val="10"/>
                <c:pt idx="0">
                  <c:v>-0.0733333333333333</c:v>
                </c:pt>
                <c:pt idx="1">
                  <c:v>-1.15666666666667</c:v>
                </c:pt>
                <c:pt idx="2">
                  <c:v>0.88</c:v>
                </c:pt>
                <c:pt idx="3">
                  <c:v>0.15</c:v>
                </c:pt>
                <c:pt idx="4">
                  <c:v>-1.32666666666667</c:v>
                </c:pt>
                <c:pt idx="5">
                  <c:v>-0.483333333333333</c:v>
                </c:pt>
                <c:pt idx="6">
                  <c:v>0.08</c:v>
                </c:pt>
                <c:pt idx="7">
                  <c:v>-0.503333333333333</c:v>
                </c:pt>
                <c:pt idx="8">
                  <c:v>1.69666666666667</c:v>
                </c:pt>
                <c:pt idx="9">
                  <c:v>-1.80666666666667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157568"/>
        <c:axId val="82159104"/>
      </c:lineChart>
      <c:catAx>
        <c:axId val="821575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zh-CN" sz="4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2159104"/>
        <c:crosses val="autoZero"/>
        <c:auto val="1"/>
        <c:lblAlgn val="ctr"/>
        <c:lblOffset val="100"/>
        <c:noMultiLvlLbl val="0"/>
      </c:catAx>
      <c:valAx>
        <c:axId val="82159104"/>
        <c:scaling>
          <c:orientation val="minMax"/>
        </c:scaling>
        <c:delete val="0"/>
        <c:axPos val="l"/>
        <c:numFmt formatCode="0.00000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5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21575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221458003967"/>
          <c:y val="0.316357444444178"/>
          <c:w val="0.0794298029952339"/>
          <c:h val="0.54442909043881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55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475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71875054836315"/>
          <c:y val="0.111940298507463"/>
          <c:w val="0.842188142538561"/>
          <c:h val="0.798507462686567"/>
        </c:manualLayout>
      </c:layout>
      <c:lineChart>
        <c:grouping val="standard"/>
        <c:varyColors val="0"/>
        <c:ser>
          <c:idx val="0"/>
          <c:order val="0"/>
          <c:tx>
            <c:strRef>
              <c:f>'GR&amp;R（msa）'!$B$31</c:f>
              <c:strCache>
                <c:ptCount val="1"/>
                <c:pt idx="0">
                  <c:v>C</c:v>
                </c:pt>
              </c:strCache>
            </c:strRef>
          </c:tx>
          <c:spPr>
            <a:ln w="3175" cap="rnd" cmpd="sng" algn="ctr">
              <a:solidFill>
                <a:srgbClr val="000080"/>
              </a:solidFill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80"/>
              </a:solidFill>
              <a:ln w="9525" cap="flat" cmpd="sng" algn="ctr">
                <a:solidFill>
                  <a:srgbClr val="000080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'GR&amp;R（msa）'!$D$46:$N$46</c:f>
              <c:numCache>
                <c:formatCode>General</c:formatCod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'GR&amp;R（msa）'!$E$36:$N$36</c:f>
              <c:numCache>
                <c:formatCode>0.0000_ </c:formatCode>
                <c:ptCount val="10"/>
                <c:pt idx="0">
                  <c:v>0.19</c:v>
                </c:pt>
                <c:pt idx="1">
                  <c:v>0.42</c:v>
                </c:pt>
                <c:pt idx="2">
                  <c:v>0.42</c:v>
                </c:pt>
                <c:pt idx="3">
                  <c:v>0.09</c:v>
                </c:pt>
                <c:pt idx="4">
                  <c:v>0.39</c:v>
                </c:pt>
                <c:pt idx="5">
                  <c:v>0.38</c:v>
                </c:pt>
                <c:pt idx="6">
                  <c:v>0.2</c:v>
                </c:pt>
                <c:pt idx="7">
                  <c:v>0.1</c:v>
                </c:pt>
                <c:pt idx="8">
                  <c:v>0.42</c:v>
                </c:pt>
                <c:pt idx="9">
                  <c:v>0.67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'GR&amp;R（msa）'!$D$49</c:f>
              <c:strCache>
                <c:ptCount val="1"/>
                <c:pt idx="0">
                  <c:v>UCLR</c:v>
                </c:pt>
              </c:strCache>
            </c:strRef>
          </c:tx>
          <c:spPr>
            <a:ln w="3175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'GR&amp;R（msa）'!$D$46:$N$46</c:f>
              <c:numCache>
                <c:formatCode>General</c:formatCod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'GR&amp;R（msa）'!$E$49:$N$49</c:f>
              <c:numCache>
                <c:formatCode>0.0000</c:formatCode>
                <c:ptCount val="10"/>
                <c:pt idx="0">
                  <c:v>0.879791666666667</c:v>
                </c:pt>
                <c:pt idx="1">
                  <c:v>0.879791666666667</c:v>
                </c:pt>
                <c:pt idx="2">
                  <c:v>0.879791666666667</c:v>
                </c:pt>
                <c:pt idx="3">
                  <c:v>0.879791666666667</c:v>
                </c:pt>
                <c:pt idx="4">
                  <c:v>0.879791666666667</c:v>
                </c:pt>
                <c:pt idx="5">
                  <c:v>0.879791666666667</c:v>
                </c:pt>
                <c:pt idx="6">
                  <c:v>0.879791666666667</c:v>
                </c:pt>
                <c:pt idx="7">
                  <c:v>0.879791666666667</c:v>
                </c:pt>
                <c:pt idx="8">
                  <c:v>0.879791666666667</c:v>
                </c:pt>
                <c:pt idx="9">
                  <c:v>0.879791666666667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'GR&amp;R（msa）'!$D$50</c:f>
              <c:strCache>
                <c:ptCount val="1"/>
                <c:pt idx="0">
                  <c:v>LCLR</c:v>
                </c:pt>
              </c:strCache>
            </c:strRef>
          </c:tx>
          <c:spPr>
            <a:ln w="3175" cap="rnd" cmpd="sng" algn="ctr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dLbls>
            <c:delete val="1"/>
          </c:dLbls>
          <c:cat>
            <c:numRef>
              <c:f>'GR&amp;R（msa）'!$D$46:$N$46</c:f>
              <c:numCache>
                <c:formatCode>General</c:formatCode>
                <c:ptCount val="11"/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cat>
          <c:val>
            <c:numRef>
              <c:f>'GR&amp;R（msa）'!$E$50:$N$50</c:f>
              <c:numCache>
                <c:formatCode>0.0000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'GR&amp;R（msa）'!$B$25</c:f>
              <c:strCache>
                <c:ptCount val="1"/>
                <c:pt idx="0">
                  <c:v>B</c:v>
                </c:pt>
              </c:strCache>
            </c:strRef>
          </c:tx>
          <c:spPr>
            <a:ln w="3175" cap="rnd" cmpd="sng" algn="ctr">
              <a:solidFill>
                <a:schemeClr val="accent3">
                  <a:lumMod val="50000"/>
                </a:schemeClr>
              </a:solidFill>
              <a:prstDash val="solid"/>
              <a:round/>
            </a:ln>
          </c:spPr>
          <c:marker>
            <c:symbol val="x"/>
            <c:size val="3"/>
            <c:spPr>
              <a:noFill/>
              <a:ln w="9525" cap="flat" cmpd="sng" algn="ctr">
                <a:solidFill>
                  <a:schemeClr val="accent3">
                    <a:lumMod val="50000"/>
                  </a:schemeClr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'GR&amp;R（msa）'!$E$30:$N$30</c:f>
              <c:numCache>
                <c:formatCode>General</c:formatCode>
                <c:ptCount val="10"/>
                <c:pt idx="0">
                  <c:v>0.18</c:v>
                </c:pt>
                <c:pt idx="1">
                  <c:v>0.75</c:v>
                </c:pt>
                <c:pt idx="2">
                  <c:v>0.4</c:v>
                </c:pt>
                <c:pt idx="3">
                  <c:v>1.02</c:v>
                </c:pt>
                <c:pt idx="4">
                  <c:v>0.72</c:v>
                </c:pt>
                <c:pt idx="5">
                  <c:v>0.42</c:v>
                </c:pt>
                <c:pt idx="6">
                  <c:v>0.36</c:v>
                </c:pt>
                <c:pt idx="7">
                  <c:v>0.71</c:v>
                </c:pt>
                <c:pt idx="8">
                  <c:v>0.39</c:v>
                </c:pt>
                <c:pt idx="9">
                  <c:v>0.18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'GR&amp;R（msa）'!$B$19</c:f>
              <c:strCache>
                <c:ptCount val="1"/>
                <c:pt idx="0">
                  <c:v>A</c:v>
                </c:pt>
              </c:strCache>
            </c:strRef>
          </c:tx>
          <c:spPr>
            <a:ln w="3175" cap="rnd" cmpd="sng" algn="ctr">
              <a:solidFill>
                <a:srgbClr val="800080"/>
              </a:solidFill>
              <a:prstDash val="solid"/>
              <a:round/>
            </a:ln>
          </c:spPr>
          <c:marker>
            <c:symbol val="star"/>
            <c:size val="3"/>
            <c:spPr>
              <a:noFill/>
              <a:ln w="9525" cap="flat" cmpd="sng" algn="ctr">
                <a:solidFill>
                  <a:srgbClr val="800080"/>
                </a:solidFill>
                <a:prstDash val="solid"/>
                <a:round/>
              </a:ln>
            </c:spPr>
          </c:marker>
          <c:dLbls>
            <c:delete val="1"/>
          </c:dLbls>
          <c:val>
            <c:numRef>
              <c:f>'GR&amp;R（msa）'!$E$24:$N$24</c:f>
              <c:numCache>
                <c:formatCode>General</c:formatCode>
                <c:ptCount val="10"/>
                <c:pt idx="0">
                  <c:v>0.35</c:v>
                </c:pt>
                <c:pt idx="1">
                  <c:v>0.12</c:v>
                </c:pt>
                <c:pt idx="2">
                  <c:v>0.17</c:v>
                </c:pt>
                <c:pt idx="3">
                  <c:v>0.17</c:v>
                </c:pt>
                <c:pt idx="4">
                  <c:v>0.12</c:v>
                </c:pt>
                <c:pt idx="5">
                  <c:v>0.23</c:v>
                </c:pt>
                <c:pt idx="6">
                  <c:v>0.16</c:v>
                </c:pt>
                <c:pt idx="7">
                  <c:v>0.14</c:v>
                </c:pt>
                <c:pt idx="8">
                  <c:v>0.27</c:v>
                </c:pt>
                <c:pt idx="9">
                  <c:v>0.11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33920"/>
        <c:axId val="82435456"/>
      </c:lineChart>
      <c:catAx>
        <c:axId val="8243392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one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2435456"/>
        <c:crosses val="autoZero"/>
        <c:auto val="1"/>
        <c:lblAlgn val="ctr"/>
        <c:lblOffset val="100"/>
        <c:noMultiLvlLbl val="0"/>
      </c:catAx>
      <c:valAx>
        <c:axId val="82435456"/>
        <c:scaling>
          <c:orientation val="minMax"/>
        </c:scaling>
        <c:delete val="0"/>
        <c:axPos val="l"/>
        <c:numFmt formatCode="0.0000_ 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575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243392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14221458003967"/>
          <c:y val="0.288542326757101"/>
          <c:w val="0.0794298029952339"/>
          <c:h val="0.5926815360416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55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zh-CN" altLang="en-US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变差比重</a:t>
            </a:r>
            <a:r>
              <a:rPr lang="en-US" altLang="zh-CN" sz="800" b="0" i="0" u="none" strike="noStrike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</a:rPr>
              <a:t>Components of variation</a:t>
            </a:r>
            <a:endParaRPr lang="en-US" altLang="zh-CN" sz="800" b="0" i="0" u="none" strike="noStrike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endParaRPr>
          </a:p>
        </c:rich>
      </c:tx>
      <c:layout>
        <c:manualLayout>
          <c:xMode val="edge"/>
          <c:yMode val="edge"/>
          <c:x val="0.217765246027061"/>
          <c:y val="0.033162361070442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0597485194153514"/>
          <c:y val="0.184713790750685"/>
          <c:w val="0.681261870998744"/>
          <c:h val="0.643314078522082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'GR&amp;R（msa）'!$J$189</c:f>
              <c:strCache>
                <c:ptCount val="1"/>
                <c:pt idx="0">
                  <c:v>%贡献率Contribution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3"/>
              <c:layout>
                <c:manualLayout>
                  <c:x val="-0.0184776098498786"/>
                  <c:y val="0.00177751787934075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7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('GR&amp;R（msa）'!$B$190:$E$192,'GR&amp;R（msa）'!$B$195:$E$195)</c:f>
              <c:multiLvlStrCache>
                <c:ptCount val="4"/>
                <c:lvl/>
                <c:lvl/>
                <c:lvl/>
                <c:lvl>
                  <c:pt idx="0">
                    <c:v>系统Total Gauge R&amp;R</c:v>
                  </c:pt>
                  <c:pt idx="1">
                    <c:v>重复性Repeatability</c:v>
                  </c:pt>
                  <c:pt idx="2">
                    <c:v>再现性Reproducibility</c:v>
                  </c:pt>
                  <c:pt idx="3">
                    <c:v>零件Part </c:v>
                  </c:pt>
                </c:lvl>
              </c:multiLvlStrCache>
            </c:multiLvlStrRef>
          </c:cat>
          <c:val>
            <c:numRef>
              <c:f>('GR&amp;R（msa）'!$J$190:$J$192,'GR&amp;R（msa）'!$J$195)</c:f>
              <c:numCache>
                <c:formatCode>0.00%</c:formatCode>
                <c:ptCount val="4"/>
                <c:pt idx="0">
                  <c:v>0.0776215867520899</c:v>
                </c:pt>
                <c:pt idx="1">
                  <c:v>0.0339367687886101</c:v>
                </c:pt>
                <c:pt idx="2">
                  <c:v>0.0436848179634797</c:v>
                </c:pt>
                <c:pt idx="3">
                  <c:v>0.92237841324791</c:v>
                </c:pt>
              </c:numCache>
            </c:numRef>
          </c:val>
        </c:ser>
        <c:ser>
          <c:idx val="4"/>
          <c:order val="1"/>
          <c:tx>
            <c:strRef>
              <c:f>'GR&amp;R（msa）'!$L$189</c:f>
              <c:strCache>
                <c:ptCount val="1"/>
                <c:pt idx="0">
                  <c:v>%总变差TV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7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('GR&amp;R（msa）'!$B$190:$E$192,'GR&amp;R（msa）'!$B$195:$E$195)</c:f>
              <c:multiLvlStrCache>
                <c:ptCount val="4"/>
                <c:lvl/>
                <c:lvl/>
                <c:lvl/>
                <c:lvl>
                  <c:pt idx="0">
                    <c:v>系统Total Gauge R&amp;R</c:v>
                  </c:pt>
                  <c:pt idx="1">
                    <c:v>重复性Repeatability</c:v>
                  </c:pt>
                  <c:pt idx="2">
                    <c:v>再现性Reproducibility</c:v>
                  </c:pt>
                  <c:pt idx="3">
                    <c:v>零件Part </c:v>
                  </c:pt>
                </c:lvl>
              </c:multiLvlStrCache>
            </c:multiLvlStrRef>
          </c:cat>
          <c:val>
            <c:numRef>
              <c:f>('GR&amp;R（msa）'!$L$190:$L$192,'GR&amp;R（msa）'!$L$195)</c:f>
              <c:numCache>
                <c:formatCode>0.00%</c:formatCode>
                <c:ptCount val="4"/>
                <c:pt idx="0">
                  <c:v>0.278606508811424</c:v>
                </c:pt>
                <c:pt idx="1">
                  <c:v>0.184219349658526</c:v>
                </c:pt>
                <c:pt idx="2">
                  <c:v>0.209009133684343</c:v>
                </c:pt>
                <c:pt idx="3">
                  <c:v>0.960405337994281</c:v>
                </c:pt>
              </c:numCache>
            </c:numRef>
          </c:val>
        </c:ser>
        <c:ser>
          <c:idx val="6"/>
          <c:order val="2"/>
          <c:tx>
            <c:strRef>
              <c:f>'GR&amp;R（msa）'!$N$189</c:f>
              <c:strCache>
                <c:ptCount val="1"/>
                <c:pt idx="0">
                  <c:v>%公差Tolerance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0%" sourceLinked="0"/>
            <c:spPr>
              <a:noFill/>
              <a:ln w="25400">
                <a:noFill/>
              </a:ln>
              <a:effectLst/>
            </c:spPr>
            <c:txPr>
              <a:bodyPr rot="0" spcFirstLastPara="0" vertOverflow="ellipsis" vert="horz" wrap="square" lIns="38100" tIns="19050" rIns="38100" bIns="19050" anchor="ctr" anchorCtr="1"/>
              <a:lstStyle/>
              <a:p>
                <a:pPr>
                  <a:defRPr lang="zh-CN" sz="700" b="0" i="0" u="none" strike="noStrike" kern="1200" baseline="0">
                    <a:solidFill>
                      <a:srgbClr val="000000"/>
                    </a:solidFill>
                    <a:latin typeface="宋体" panose="02010600030101010101" pitchFamily="7" charset="-122"/>
                    <a:ea typeface="宋体" panose="02010600030101010101" pitchFamily="7" charset="-122"/>
                    <a:cs typeface="宋体" panose="02010600030101010101" pitchFamily="7" charset="-122"/>
                  </a:defRPr>
                </a:pPr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  <c15:leaderLines/>
              </c:ext>
            </c:extLst>
          </c:dLbls>
          <c:cat>
            <c:multiLvlStrRef>
              <c:f>('GR&amp;R（msa）'!$B$190:$E$192,'GR&amp;R（msa）'!$B$195:$E$195)</c:f>
              <c:multiLvlStrCache>
                <c:ptCount val="4"/>
                <c:lvl/>
                <c:lvl/>
                <c:lvl/>
                <c:lvl>
                  <c:pt idx="0">
                    <c:v>系统Total Gauge R&amp;R</c:v>
                  </c:pt>
                  <c:pt idx="1">
                    <c:v>重复性Repeatability</c:v>
                  </c:pt>
                  <c:pt idx="2">
                    <c:v>再现性Reproducibility</c:v>
                  </c:pt>
                  <c:pt idx="3">
                    <c:v>零件Part </c:v>
                  </c:pt>
                </c:lvl>
              </c:multiLvlStrCache>
            </c:multiLvlStrRef>
          </c:cat>
          <c:val>
            <c:numRef>
              <c:f>('GR&amp;R（msa）'!$N$190:$N$192,'GR&amp;R（msa）'!$N$195)</c:f>
              <c:numCache>
                <c:formatCode>0.00%</c:formatCod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355712"/>
        <c:axId val="82357248"/>
      </c:barChart>
      <c:catAx>
        <c:axId val="82355712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7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2357248"/>
        <c:crosses val="autoZero"/>
        <c:auto val="1"/>
        <c:lblAlgn val="ctr"/>
        <c:lblOffset val="100"/>
        <c:tickLblSkip val="1"/>
        <c:noMultiLvlLbl val="0"/>
      </c:catAx>
      <c:valAx>
        <c:axId val="82357248"/>
        <c:scaling>
          <c:orientation val="minMax"/>
          <c:max val="2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%" sourceLinked="0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7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2355712"/>
        <c:crosses val="autoZero"/>
        <c:crossBetween val="between"/>
        <c:majorUnit val="2"/>
        <c:min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77267429427282"/>
          <c:y val="0.184001286932275"/>
          <c:w val="0.176827891187061"/>
          <c:h val="0.65675871807246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 rot="0" spcFirstLastPara="0" vertOverflow="ellipsis" vert="horz" wrap="square" anchor="ctr" anchorCtr="1"/>
        <a:lstStyle/>
        <a:p>
          <a:pPr>
            <a:defRPr lang="zh-CN" sz="800" b="0" i="0" u="none" strike="noStrike" kern="1200" baseline="0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  <a:cs typeface="宋体" panose="02010600030101010101" pitchFamily="7" charset="-122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6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  <a:r>
              <a:rPr lang="en-US"/>
              <a:t>Response by part</a:t>
            </a:r>
            <a:endParaRPr lang="en-US"/>
          </a:p>
        </c:rich>
      </c:tx>
      <c:layout>
        <c:manualLayout>
          <c:xMode val="edge"/>
          <c:yMode val="edge"/>
          <c:x val="0.366270292271422"/>
          <c:y val="0.0186995729033658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63774922643946"/>
          <c:y val="0.134746464398054"/>
          <c:w val="0.800334055939282"/>
          <c:h val="0.758484209667183"/>
        </c:manualLayout>
      </c:layout>
      <c:lineChart>
        <c:grouping val="standard"/>
        <c:varyColors val="0"/>
        <c:ser>
          <c:idx val="9"/>
          <c:order val="9"/>
          <c:spPr>
            <a:ln w="12700" cap="rnd" cmpd="sng" algn="ctr">
              <a:solidFill>
                <a:srgbClr val="0000FF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0000FF"/>
              </a:solidFill>
              <a:ln w="9525" cap="flat" cmpd="sng" algn="ctr">
                <a:solidFill>
                  <a:srgbClr val="0000FF"/>
                </a:solidFill>
                <a:prstDash val="solid"/>
                <a:round/>
              </a:ln>
            </c:spPr>
          </c:marker>
          <c:dLbls>
            <c:delete val="1"/>
          </c:dLbls>
          <c:cat>
            <c:numRef>
              <c:f>'GR&amp;R（msa）'!$E$18:$N$18</c:f>
              <c:numCache>
                <c:formatCode>0</c:formatCode>
                <c:ptCount val="10"/>
                <c:pt idx="0" c:formatCode="0">
                  <c:v>1</c:v>
                </c:pt>
                <c:pt idx="1" c:formatCode="0">
                  <c:v>2</c:v>
                </c:pt>
                <c:pt idx="2" c:formatCode="0">
                  <c:v>3</c:v>
                </c:pt>
                <c:pt idx="3" c:formatCode="0">
                  <c:v>4</c:v>
                </c:pt>
                <c:pt idx="4" c:formatCode="0">
                  <c:v>5</c:v>
                </c:pt>
                <c:pt idx="5" c:formatCode="0">
                  <c:v>6</c:v>
                </c:pt>
                <c:pt idx="6" c:formatCode="0">
                  <c:v>7</c:v>
                </c:pt>
                <c:pt idx="7" c:formatCode="0">
                  <c:v>8</c:v>
                </c:pt>
                <c:pt idx="8" c:formatCode="0">
                  <c:v>9</c:v>
                </c:pt>
                <c:pt idx="9" c:formatCode="0">
                  <c:v>10</c:v>
                </c:pt>
              </c:numCache>
            </c:numRef>
          </c:cat>
          <c:val>
            <c:numRef>
              <c:f>'GR&amp;R（msa）'!$E$37:$N$37</c:f>
              <c:numCache>
                <c:formatCode>0.000000_ </c:formatCode>
                <c:ptCount val="10"/>
                <c:pt idx="0">
                  <c:v>0.168888888888889</c:v>
                </c:pt>
                <c:pt idx="1">
                  <c:v>-0.851111111111111</c:v>
                </c:pt>
                <c:pt idx="2">
                  <c:v>1.09888888888889</c:v>
                </c:pt>
                <c:pt idx="3">
                  <c:v>0.366666666666667</c:v>
                </c:pt>
                <c:pt idx="4">
                  <c:v>-1.06444444444444</c:v>
                </c:pt>
                <c:pt idx="5">
                  <c:v>-0.185555555555556</c:v>
                </c:pt>
                <c:pt idx="6">
                  <c:v>0.454444444444444</c:v>
                </c:pt>
                <c:pt idx="7">
                  <c:v>-0.342222222222222</c:v>
                </c:pt>
                <c:pt idx="8">
                  <c:v>1.94</c:v>
                </c:pt>
                <c:pt idx="9">
                  <c:v>-1.57111111111111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545280"/>
        <c:axId val="82559360"/>
      </c:lineChart>
      <c:scatterChart>
        <c:scatterStyle val="marker"/>
        <c:varyColors val="0"/>
        <c:ser>
          <c:idx val="0"/>
          <c:order val="0"/>
          <c:spPr>
            <a:ln w="28575" cap="rnd" cmpd="sng" algn="ctr">
              <a:noFill/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xVal>
            <c:numRef>
              <c:f>'GR&amp;R（msa）'!$E$18:$N$18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'GR&amp;R（msa）'!$E$19:$N$19</c:f>
              <c:numCache>
                <c:formatCode>General</c:formatCode>
                <c:ptCount val="10"/>
                <c:pt idx="0">
                  <c:v>0.29</c:v>
                </c:pt>
                <c:pt idx="1">
                  <c:v>-0.56</c:v>
                </c:pt>
                <c:pt idx="2">
                  <c:v>1.34</c:v>
                </c:pt>
                <c:pt idx="3">
                  <c:v>0.47</c:v>
                </c:pt>
                <c:pt idx="4">
                  <c:v>-0.8</c:v>
                </c:pt>
                <c:pt idx="5">
                  <c:v>0.02</c:v>
                </c:pt>
                <c:pt idx="6">
                  <c:v>0.59</c:v>
                </c:pt>
                <c:pt idx="7">
                  <c:v>-0.31</c:v>
                </c:pt>
                <c:pt idx="8">
                  <c:v>2.26</c:v>
                </c:pt>
                <c:pt idx="9">
                  <c:v>-1.36</c:v>
                </c:pt>
              </c:numCache>
            </c:numRef>
          </c:yVal>
          <c:smooth val="0"/>
        </c:ser>
        <c:ser>
          <c:idx val="1"/>
          <c:order val="1"/>
          <c:spPr>
            <a:ln w="28575" cap="rnd" cmpd="sng" algn="ctr">
              <a:noFill/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xVal>
            <c:numRef>
              <c:f>'GR&amp;R（msa）'!$E$18:$N$18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'GR&amp;R（msa）'!$E$20:$N$20</c:f>
              <c:numCache>
                <c:formatCode>General</c:formatCode>
                <c:ptCount val="10"/>
                <c:pt idx="0">
                  <c:v>0.41</c:v>
                </c:pt>
                <c:pt idx="1">
                  <c:v>-0.68</c:v>
                </c:pt>
                <c:pt idx="2">
                  <c:v>1.17</c:v>
                </c:pt>
                <c:pt idx="3">
                  <c:v>0.5</c:v>
                </c:pt>
                <c:pt idx="4">
                  <c:v>-0.92</c:v>
                </c:pt>
                <c:pt idx="5">
                  <c:v>-0.11</c:v>
                </c:pt>
                <c:pt idx="6">
                  <c:v>0.75</c:v>
                </c:pt>
                <c:pt idx="7">
                  <c:v>-0.2</c:v>
                </c:pt>
                <c:pt idx="8">
                  <c:v>1.99</c:v>
                </c:pt>
                <c:pt idx="9">
                  <c:v>-1.25</c:v>
                </c:pt>
              </c:numCache>
            </c:numRef>
          </c:yVal>
          <c:smooth val="0"/>
        </c:ser>
        <c:ser>
          <c:idx val="2"/>
          <c:order val="2"/>
          <c:spPr>
            <a:ln w="28575" cap="rnd" cmpd="sng" algn="ctr">
              <a:noFill/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xVal>
            <c:numRef>
              <c:f>'GR&amp;R（msa）'!$E$18:$N$18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'GR&amp;R（msa）'!$E$21:$N$21</c:f>
              <c:numCache>
                <c:formatCode>General</c:formatCode>
                <c:ptCount val="10"/>
                <c:pt idx="0">
                  <c:v>0.64</c:v>
                </c:pt>
                <c:pt idx="1">
                  <c:v>-0.58</c:v>
                </c:pt>
                <c:pt idx="2">
                  <c:v>1.27</c:v>
                </c:pt>
                <c:pt idx="3">
                  <c:v>0.64</c:v>
                </c:pt>
                <c:pt idx="4">
                  <c:v>-0.84</c:v>
                </c:pt>
                <c:pt idx="5">
                  <c:v>-0.21</c:v>
                </c:pt>
                <c:pt idx="6">
                  <c:v>0.66</c:v>
                </c:pt>
                <c:pt idx="7">
                  <c:v>-0.17</c:v>
                </c:pt>
                <c:pt idx="8">
                  <c:v>2.01</c:v>
                </c:pt>
                <c:pt idx="9">
                  <c:v>-1.31</c:v>
                </c:pt>
              </c:numCache>
            </c:numRef>
          </c:yVal>
          <c:smooth val="0"/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xVal>
            <c:numRef>
              <c:f>'GR&amp;R（msa）'!$E$18:$N$18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'GR&amp;R（msa）'!$E$25:$N$25</c:f>
              <c:numCache>
                <c:formatCode>General</c:formatCode>
                <c:ptCount val="10"/>
                <c:pt idx="0">
                  <c:v>0.08</c:v>
                </c:pt>
                <c:pt idx="1">
                  <c:v>-0.47</c:v>
                </c:pt>
                <c:pt idx="2">
                  <c:v>1.19</c:v>
                </c:pt>
                <c:pt idx="3">
                  <c:v>0.01</c:v>
                </c:pt>
                <c:pt idx="4">
                  <c:v>-0.56</c:v>
                </c:pt>
                <c:pt idx="5">
                  <c:v>-0.2</c:v>
                </c:pt>
                <c:pt idx="6">
                  <c:v>0.47</c:v>
                </c:pt>
                <c:pt idx="7">
                  <c:v>-0.63</c:v>
                </c:pt>
                <c:pt idx="8">
                  <c:v>1.8</c:v>
                </c:pt>
                <c:pt idx="9">
                  <c:v>-1.68</c:v>
                </c:pt>
              </c:numCache>
            </c:numRef>
          </c:yVal>
          <c:smooth val="0"/>
        </c:ser>
        <c:ser>
          <c:idx val="4"/>
          <c:order val="4"/>
          <c:spPr>
            <a:ln w="28575" cap="rnd" cmpd="sng" algn="ctr">
              <a:noFill/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xVal>
            <c:numRef>
              <c:f>'GR&amp;R（msa）'!$E$18:$N$18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'GR&amp;R（msa）'!$E$26:$N$26</c:f>
              <c:numCache>
                <c:formatCode>General</c:formatCode>
                <c:ptCount val="10"/>
                <c:pt idx="0">
                  <c:v>0.25</c:v>
                </c:pt>
                <c:pt idx="1">
                  <c:v>-1.22</c:v>
                </c:pt>
                <c:pt idx="2">
                  <c:v>0.94</c:v>
                </c:pt>
                <c:pt idx="3">
                  <c:v>1.03</c:v>
                </c:pt>
                <c:pt idx="4">
                  <c:v>-1.2</c:v>
                </c:pt>
                <c:pt idx="5">
                  <c:v>0.22</c:v>
                </c:pt>
                <c:pt idx="6">
                  <c:v>0.55</c:v>
                </c:pt>
                <c:pt idx="7">
                  <c:v>0.08</c:v>
                </c:pt>
                <c:pt idx="8">
                  <c:v>2.12</c:v>
                </c:pt>
                <c:pt idx="9">
                  <c:v>-1.62</c:v>
                </c:pt>
              </c:numCache>
            </c:numRef>
          </c:yVal>
          <c:smooth val="0"/>
        </c:ser>
        <c:ser>
          <c:idx val="5"/>
          <c:order val="5"/>
          <c:spPr>
            <a:ln w="28575" cap="rnd" cmpd="sng" algn="ctr">
              <a:noFill/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xVal>
            <c:numRef>
              <c:f>'GR&amp;R（msa）'!$E$18:$N$18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'GR&amp;R（msa）'!$E$27:$N$27</c:f>
              <c:numCache>
                <c:formatCode>General</c:formatCode>
                <c:ptCount val="10"/>
                <c:pt idx="0">
                  <c:v>0.07</c:v>
                </c:pt>
                <c:pt idx="1">
                  <c:v>-0.68</c:v>
                </c:pt>
                <c:pt idx="2">
                  <c:v>1.34</c:v>
                </c:pt>
                <c:pt idx="3">
                  <c:v>0.2</c:v>
                </c:pt>
                <c:pt idx="4">
                  <c:v>-1.28</c:v>
                </c:pt>
                <c:pt idx="5">
                  <c:v>0.06</c:v>
                </c:pt>
                <c:pt idx="6">
                  <c:v>0.83</c:v>
                </c:pt>
                <c:pt idx="7">
                  <c:v>-0.34</c:v>
                </c:pt>
                <c:pt idx="8">
                  <c:v>2.19</c:v>
                </c:pt>
                <c:pt idx="9">
                  <c:v>-1.5</c:v>
                </c:pt>
              </c:numCache>
            </c:numRef>
          </c:yVal>
          <c:smooth val="0"/>
        </c:ser>
        <c:ser>
          <c:idx val="6"/>
          <c:order val="6"/>
          <c:spPr>
            <a:ln w="28575" cap="rnd" cmpd="sng" algn="ctr">
              <a:noFill/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xVal>
            <c:numRef>
              <c:f>'GR&amp;R（msa）'!$E$18:$N$18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'GR&amp;R（msa）'!$E$31:$N$31</c:f>
              <c:numCache>
                <c:formatCode>General</c:formatCode>
                <c:ptCount val="10"/>
                <c:pt idx="0">
                  <c:v>0.04</c:v>
                </c:pt>
                <c:pt idx="1">
                  <c:v>-1.38</c:v>
                </c:pt>
                <c:pt idx="2">
                  <c:v>0.88</c:v>
                </c:pt>
                <c:pt idx="3">
                  <c:v>0.14</c:v>
                </c:pt>
                <c:pt idx="4">
                  <c:v>-1.46</c:v>
                </c:pt>
                <c:pt idx="5">
                  <c:v>-0.29</c:v>
                </c:pt>
                <c:pt idx="6">
                  <c:v>0.02</c:v>
                </c:pt>
                <c:pt idx="7">
                  <c:v>-0.46</c:v>
                </c:pt>
                <c:pt idx="8">
                  <c:v>1.77</c:v>
                </c:pt>
                <c:pt idx="9">
                  <c:v>-1.49</c:v>
                </c:pt>
              </c:numCache>
            </c:numRef>
          </c:yVal>
          <c:smooth val="0"/>
        </c:ser>
        <c:ser>
          <c:idx val="7"/>
          <c:order val="7"/>
          <c:spPr>
            <a:ln w="28575" cap="rnd" cmpd="sng" algn="ctr">
              <a:noFill/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xVal>
            <c:numRef>
              <c:f>'GR&amp;R（msa）'!$E$18:$N$18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'GR&amp;R（msa）'!$E$32:$N$32</c:f>
              <c:numCache>
                <c:formatCode>General</c:formatCode>
                <c:ptCount val="10"/>
                <c:pt idx="0">
                  <c:v>-0.11</c:v>
                </c:pt>
                <c:pt idx="1">
                  <c:v>-1.13</c:v>
                </c:pt>
                <c:pt idx="2">
                  <c:v>1.09</c:v>
                </c:pt>
                <c:pt idx="3">
                  <c:v>0.2</c:v>
                </c:pt>
                <c:pt idx="4">
                  <c:v>-1.07</c:v>
                </c:pt>
                <c:pt idx="5">
                  <c:v>-0.67</c:v>
                </c:pt>
                <c:pt idx="6">
                  <c:v>0.01</c:v>
                </c:pt>
                <c:pt idx="7">
                  <c:v>-0.56</c:v>
                </c:pt>
                <c:pt idx="8">
                  <c:v>1.45</c:v>
                </c:pt>
                <c:pt idx="9">
                  <c:v>-1.77</c:v>
                </c:pt>
              </c:numCache>
            </c:numRef>
          </c:yVal>
          <c:smooth val="0"/>
        </c:ser>
        <c:ser>
          <c:idx val="8"/>
          <c:order val="8"/>
          <c:spPr>
            <a:ln w="28575" cap="rnd" cmpd="sng" algn="ctr">
              <a:noFill/>
              <a:prstDash val="solid"/>
              <a:round/>
            </a:ln>
          </c:spPr>
          <c:marker>
            <c:symbol val="diamond"/>
            <c:size val="3"/>
            <c:spPr>
              <a:solidFill>
                <a:srgbClr val="000000"/>
              </a:solidFill>
              <a:ln w="9525" cap="flat" cmpd="sng" algn="ctr">
                <a:solidFill>
                  <a:srgbClr val="000000"/>
                </a:solidFill>
                <a:prstDash val="solid"/>
                <a:round/>
              </a:ln>
            </c:spPr>
          </c:marker>
          <c:dLbls>
            <c:delete val="1"/>
          </c:dLbls>
          <c:xVal>
            <c:numRef>
              <c:f>'GR&amp;R（msa）'!$E$18:$N$18</c:f>
              <c:numCache>
                <c:formatCode>0</c:formatCode>
                <c:ptCount val="1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'GR&amp;R（msa）'!$E$33:$N$33</c:f>
              <c:numCache>
                <c:formatCode>General</c:formatCode>
                <c:ptCount val="10"/>
                <c:pt idx="0">
                  <c:v>-0.15</c:v>
                </c:pt>
                <c:pt idx="1">
                  <c:v>-0.96</c:v>
                </c:pt>
                <c:pt idx="2">
                  <c:v>0.67</c:v>
                </c:pt>
                <c:pt idx="3">
                  <c:v>0.11</c:v>
                </c:pt>
                <c:pt idx="4">
                  <c:v>-1.45</c:v>
                </c:pt>
                <c:pt idx="5">
                  <c:v>-0.49</c:v>
                </c:pt>
                <c:pt idx="6">
                  <c:v>0.21</c:v>
                </c:pt>
                <c:pt idx="7">
                  <c:v>-0.49</c:v>
                </c:pt>
                <c:pt idx="8">
                  <c:v>1.87</c:v>
                </c:pt>
                <c:pt idx="9">
                  <c:v>-2.16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545280"/>
        <c:axId val="82559360"/>
      </c:scatterChart>
      <c:catAx>
        <c:axId val="82545280"/>
        <c:scaling>
          <c:orientation val="minMax"/>
        </c:scaling>
        <c:delete val="0"/>
        <c:axPos val="b"/>
        <c:numFmt formatCode="0" sourceLinked="1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2559360"/>
        <c:crosses val="autoZero"/>
        <c:auto val="1"/>
        <c:lblAlgn val="ctr"/>
        <c:lblOffset val="100"/>
        <c:tickLblSkip val="1"/>
        <c:noMultiLvlLbl val="0"/>
      </c:catAx>
      <c:valAx>
        <c:axId val="82559360"/>
        <c:scaling>
          <c:orientation val="minMax"/>
        </c:scaling>
        <c:delete val="0"/>
        <c:axPos val="l"/>
        <c:majorGridlines>
          <c:spPr>
            <a:ln w="3175" cap="flat" cmpd="sng" algn="ctr">
              <a:solidFill>
                <a:srgbClr val="000000"/>
              </a:solidFill>
              <a:prstDash val="solid"/>
              <a:round/>
            </a:ln>
          </c:spPr>
        </c:majorGridlines>
        <c:numFmt formatCode="0.0_ " sourceLinked="0"/>
        <c:majorTickMark val="cross"/>
        <c:minorTickMark val="none"/>
        <c:tickLblPos val="nextTo"/>
        <c:spPr>
          <a:ln w="3175" cap="flat" cmpd="sng" algn="ctr">
            <a:solidFill>
              <a:srgbClr val="000000"/>
            </a:solidFill>
            <a:prstDash val="solid"/>
            <a:round/>
          </a:ln>
        </c:spPr>
        <c:txPr>
          <a:bodyPr rot="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</a:defRPr>
            </a:pPr>
          </a:p>
        </c:txPr>
        <c:crossAx val="8254528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 cap="flat" cmpd="sng" algn="ctr">
      <a:solidFill>
        <a:srgbClr val="000000"/>
      </a:solidFill>
      <a:prstDash val="solid"/>
      <a:round/>
    </a:ln>
  </c:spPr>
  <c:txPr>
    <a:bodyPr/>
    <a:lstStyle/>
    <a:p>
      <a:pPr>
        <a:defRPr lang="zh-CN" sz="800" b="0" i="0" u="none" strike="noStrike" baseline="0">
          <a:solidFill>
            <a:srgbClr val="000000"/>
          </a:solidFill>
          <a:latin typeface="宋体" panose="02010600030101010101" pitchFamily="7" charset="-122"/>
          <a:ea typeface="宋体" panose="02010600030101010101" pitchFamily="7" charset="-122"/>
          <a:cs typeface="宋体" panose="02010600030101010101" pitchFamily="7" charset="-122"/>
        </a:defRPr>
      </a:pPr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0" vertOverflow="ellipsis" vert="horz" wrap="square" anchor="ctr" anchorCtr="1"/>
          <a:lstStyle/>
          <a:p>
            <a:pPr>
              <a:defRPr lang="zh-CN" sz="96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 b="0"/>
              <a:t>Response by operator</a:t>
            </a:r>
            <a:endParaRPr lang="zh-CN" b="0"/>
          </a:p>
        </c:rich>
      </c:tx>
      <c:layout>
        <c:manualLayout>
          <c:xMode val="edge"/>
          <c:yMode val="edge"/>
          <c:x val="0.345936777684514"/>
          <c:y val="0.0204864813419774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775700224444"/>
          <c:y val="0.156158607306415"/>
          <c:w val="0.797264043205554"/>
          <c:h val="0.719568568683214"/>
        </c:manualLayout>
      </c:layout>
      <c:lineChart>
        <c:grouping val="standard"/>
        <c:varyColors val="0"/>
        <c:ser>
          <c:idx val="0"/>
          <c:order val="0"/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('GR&amp;R（msa）'!$E$22,'GR&amp;R（msa）'!$E$28,'GR&amp;R（msa）'!$E$34)</c:f>
              <c:numCache>
                <c:formatCode>0.00000_ </c:formatCode>
                <c:ptCount val="3"/>
                <c:pt idx="0">
                  <c:v>0.446666666666667</c:v>
                </c:pt>
                <c:pt idx="1">
                  <c:v>0.133333333333333</c:v>
                </c:pt>
                <c:pt idx="2">
                  <c:v>-0.0733333333333333</c:v>
                </c:pt>
              </c:numCache>
            </c:numRef>
          </c:val>
          <c:smooth val="0"/>
        </c:ser>
        <c:ser>
          <c:idx val="1"/>
          <c:order val="1"/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('GR&amp;R（msa）'!$F$22,'GR&amp;R（msa）'!$F$28,'GR&amp;R（msa）'!$F$34)</c:f>
              <c:numCache>
                <c:formatCode>0.00000_ </c:formatCode>
                <c:ptCount val="3"/>
                <c:pt idx="0">
                  <c:v>-0.606666666666667</c:v>
                </c:pt>
                <c:pt idx="1">
                  <c:v>-0.79</c:v>
                </c:pt>
                <c:pt idx="2">
                  <c:v>-1.15666666666667</c:v>
                </c:pt>
              </c:numCache>
            </c:numRef>
          </c:val>
          <c:smooth val="0"/>
        </c:ser>
        <c:ser>
          <c:idx val="2"/>
          <c:order val="2"/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('GR&amp;R（msa）'!$G$22,'GR&amp;R（msa）'!$G$28,'GR&amp;R（msa）'!$G$34)</c:f>
              <c:numCache>
                <c:formatCode>0.00000_ </c:formatCode>
                <c:ptCount val="3"/>
                <c:pt idx="0">
                  <c:v>1.26</c:v>
                </c:pt>
                <c:pt idx="1">
                  <c:v>1.15666666666667</c:v>
                </c:pt>
                <c:pt idx="2">
                  <c:v>0.88</c:v>
                </c:pt>
              </c:numCache>
            </c:numRef>
          </c:val>
          <c:smooth val="0"/>
        </c:ser>
        <c:ser>
          <c:idx val="3"/>
          <c:order val="3"/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Pt>
            <c:idx val="1"/>
            <c:marker>
              <c:symbol val="circle"/>
              <c:size val="5"/>
              <c:spPr>
                <a:noFill/>
                <a:ln w="9525" cap="flat" cmpd="sng" algn="ctr">
                  <a:solidFill>
                    <a:srgbClr val="002060"/>
                  </a:solidFill>
                  <a:prstDash val="solid"/>
                  <a:round/>
                </a:ln>
              </c:spPr>
            </c:marker>
            <c:bubble3D val="0"/>
            <c:spPr>
              <a:ln w="28575" cap="rnd" cmpd="sng" algn="ctr">
                <a:noFill/>
                <a:prstDash val="solid"/>
                <a:round/>
              </a:ln>
            </c:spPr>
          </c:dPt>
          <c:dPt>
            <c:idx val="2"/>
            <c:marker>
              <c:symbol val="circle"/>
              <c:size val="5"/>
              <c:spPr>
                <a:noFill/>
                <a:ln w="9525" cap="flat" cmpd="sng" algn="ctr">
                  <a:solidFill>
                    <a:srgbClr val="002060"/>
                  </a:solidFill>
                  <a:prstDash val="solid"/>
                  <a:round/>
                </a:ln>
              </c:spPr>
            </c:marker>
            <c:bubble3D val="0"/>
            <c:spPr>
              <a:ln w="28575" cap="rnd" cmpd="sng" algn="ctr">
                <a:noFill/>
                <a:prstDash val="solid"/>
                <a:round/>
              </a:ln>
            </c:spPr>
          </c:dPt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('GR&amp;R（msa）'!$H$22,'GR&amp;R（msa）'!$H$28,'GR&amp;R（msa）'!$H$34)</c:f>
              <c:numCache>
                <c:formatCode>0.00000_ </c:formatCode>
                <c:ptCount val="3"/>
                <c:pt idx="0">
                  <c:v>0.536666666666667</c:v>
                </c:pt>
                <c:pt idx="1">
                  <c:v>0.413333333333333</c:v>
                </c:pt>
                <c:pt idx="2">
                  <c:v>0.15</c:v>
                </c:pt>
              </c:numCache>
            </c:numRef>
          </c:val>
          <c:smooth val="0"/>
        </c:ser>
        <c:ser>
          <c:idx val="4"/>
          <c:order val="4"/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('GR&amp;R（msa）'!$I$22,'GR&amp;R（msa）'!$I$28,'GR&amp;R（msa）'!$I$34)</c:f>
              <c:numCache>
                <c:formatCode>0.00000_ </c:formatCode>
                <c:ptCount val="3"/>
                <c:pt idx="0">
                  <c:v>-0.853333333333333</c:v>
                </c:pt>
                <c:pt idx="1">
                  <c:v>-1.01333333333333</c:v>
                </c:pt>
                <c:pt idx="2">
                  <c:v>-1.32666666666667</c:v>
                </c:pt>
              </c:numCache>
            </c:numRef>
          </c:val>
          <c:smooth val="0"/>
        </c:ser>
        <c:ser>
          <c:idx val="5"/>
          <c:order val="5"/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('GR&amp;R（msa）'!$J$22,'GR&amp;R（msa）'!$J$28,'GR&amp;R（msa）'!$J$34)</c:f>
              <c:numCache>
                <c:formatCode>0.00000_ </c:formatCode>
                <c:ptCount val="3"/>
                <c:pt idx="0">
                  <c:v>-0.1</c:v>
                </c:pt>
                <c:pt idx="1">
                  <c:v>0.0266666666666667</c:v>
                </c:pt>
                <c:pt idx="2">
                  <c:v>-0.483333333333333</c:v>
                </c:pt>
              </c:numCache>
            </c:numRef>
          </c:val>
          <c:smooth val="0"/>
        </c:ser>
        <c:ser>
          <c:idx val="6"/>
          <c:order val="6"/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('GR&amp;R（msa）'!$K$22,'GR&amp;R（msa）'!$K$28,'GR&amp;R（msa）'!$K$34)</c:f>
              <c:numCache>
                <c:formatCode>0.00000_ </c:formatCode>
                <c:ptCount val="3"/>
                <c:pt idx="0">
                  <c:v>0.666666666666667</c:v>
                </c:pt>
                <c:pt idx="1">
                  <c:v>0.616666666666667</c:v>
                </c:pt>
                <c:pt idx="2">
                  <c:v>0.08</c:v>
                </c:pt>
              </c:numCache>
            </c:numRef>
          </c:val>
          <c:smooth val="0"/>
        </c:ser>
        <c:ser>
          <c:idx val="7"/>
          <c:order val="7"/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('GR&amp;R（msa）'!$L$22,'GR&amp;R（msa）'!$L$28,'GR&amp;R（msa）'!$L$34)</c:f>
              <c:numCache>
                <c:formatCode>0.00000_ </c:formatCode>
                <c:ptCount val="3"/>
                <c:pt idx="0">
                  <c:v>-0.226666666666667</c:v>
                </c:pt>
                <c:pt idx="1">
                  <c:v>-0.296666666666667</c:v>
                </c:pt>
                <c:pt idx="2">
                  <c:v>-0.503333333333333</c:v>
                </c:pt>
              </c:numCache>
            </c:numRef>
          </c:val>
          <c:smooth val="0"/>
        </c:ser>
        <c:ser>
          <c:idx val="8"/>
          <c:order val="8"/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('GR&amp;R（msa）'!$M$22,'GR&amp;R（msa）'!$M$28,'GR&amp;R（msa）'!$M$34)</c:f>
              <c:numCache>
                <c:formatCode>0.00000_ </c:formatCode>
                <c:ptCount val="3"/>
                <c:pt idx="0">
                  <c:v>2.08666666666667</c:v>
                </c:pt>
                <c:pt idx="1">
                  <c:v>2.03666666666667</c:v>
                </c:pt>
                <c:pt idx="2">
                  <c:v>1.69666666666667</c:v>
                </c:pt>
              </c:numCache>
            </c:numRef>
          </c:val>
          <c:smooth val="0"/>
        </c:ser>
        <c:ser>
          <c:idx val="9"/>
          <c:order val="9"/>
          <c:spPr>
            <a:ln w="28575" cap="rnd" cmpd="sng" algn="ctr">
              <a:noFill/>
              <a:prstDash val="solid"/>
              <a:round/>
            </a:ln>
          </c:spPr>
          <c:marker>
            <c:symbol val="circle"/>
            <c:size val="5"/>
            <c:spPr>
              <a:noFill/>
              <a:ln w="9525" cap="flat" cmpd="sng" algn="ctr">
                <a:solidFill>
                  <a:srgbClr val="002060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('GR&amp;R（msa）'!$N$22,'GR&amp;R（msa）'!$N$28,'GR&amp;R（msa）'!$N$34)</c:f>
              <c:numCache>
                <c:formatCode>0.00000_ </c:formatCode>
                <c:ptCount val="3"/>
                <c:pt idx="0">
                  <c:v>-1.30666666666667</c:v>
                </c:pt>
                <c:pt idx="1">
                  <c:v>-1.6</c:v>
                </c:pt>
                <c:pt idx="2">
                  <c:v>-1.80666666666667</c:v>
                </c:pt>
              </c:numCache>
            </c:numRef>
          </c:val>
          <c:smooth val="0"/>
        </c:ser>
        <c:ser>
          <c:idx val="10"/>
          <c:order val="10"/>
          <c:spPr>
            <a:ln w="19050" cap="rnd" cmpd="sng" algn="ctr">
              <a:solidFill>
                <a:srgbClr val="1138DD"/>
              </a:solidFill>
              <a:prstDash val="solid"/>
              <a:round/>
            </a:ln>
          </c:spPr>
          <c:marker>
            <c:symbol val="circle"/>
            <c:size val="5"/>
            <c:spPr>
              <a:solidFill>
                <a:srgbClr val="1138DD"/>
              </a:solidFill>
              <a:ln w="9525" cap="flat" cmpd="sng" algn="ctr">
                <a:solidFill>
                  <a:srgbClr val="1138DD"/>
                </a:solidFill>
                <a:prstDash val="solid"/>
                <a:round/>
              </a:ln>
            </c:spPr>
          </c:marker>
          <c:dLbls>
            <c:delete val="1"/>
          </c:dLbls>
          <c:cat>
            <c:strRef>
              <c:f>{"A","B","C"}</c:f>
              <c:strCache>
                <c:ptCount val="3"/>
                <c:pt idx="0">
                  <c:v>A</c:v>
                </c:pt>
                <c:pt idx="1">
                  <c:v>B</c:v>
                </c:pt>
                <c:pt idx="2">
                  <c:v>C</c:v>
                </c:pt>
              </c:strCache>
            </c:strRef>
          </c:cat>
          <c:val>
            <c:numRef>
              <c:f>('GR&amp;R（msa）'!$Q$22,'GR&amp;R（msa）'!$Q$28,'GR&amp;R（msa）'!$Q$34)</c:f>
              <c:numCache>
                <c:formatCode>0.000000_ </c:formatCode>
                <c:ptCount val="3"/>
                <c:pt idx="0">
                  <c:v>0.190333333333333</c:v>
                </c:pt>
                <c:pt idx="1">
                  <c:v>0.0683333333333333</c:v>
                </c:pt>
                <c:pt idx="2">
                  <c:v>-0.254333333333333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797312"/>
        <c:axId val="82798848"/>
      </c:lineChart>
      <c:catAx>
        <c:axId val="827973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2798848"/>
        <c:crosses val="autoZero"/>
        <c:auto val="1"/>
        <c:lblAlgn val="ctr"/>
        <c:lblOffset val="100"/>
        <c:noMultiLvlLbl val="0"/>
      </c:catAx>
      <c:valAx>
        <c:axId val="82798848"/>
        <c:scaling>
          <c:orientation val="minMax"/>
        </c:scaling>
        <c:delete val="0"/>
        <c:axPos val="l"/>
        <c:majorGridlines/>
        <c:numFmt formatCode="General" sourceLinked="0"/>
        <c:majorTickMark val="none"/>
        <c:minorTickMark val="none"/>
        <c:tickLblPos val="nextTo"/>
        <c:txPr>
          <a:bodyPr rot="-60000000" spcFirstLastPara="0" vertOverflow="ellipsis" vert="horz" wrap="square" anchor="ctr" anchorCtr="1"/>
          <a:lstStyle/>
          <a:p>
            <a:pPr>
              <a:defRPr lang="zh-CN" sz="8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</a:p>
        </c:txPr>
        <c:crossAx val="82797312"/>
        <c:crosses val="autoZero"/>
        <c:crossBetween val="between"/>
      </c:valAx>
      <c:spPr>
        <a:solidFill>
          <a:schemeClr val="bg1">
            <a:lumMod val="75000"/>
          </a:schemeClr>
        </a:solidFill>
      </c:spPr>
    </c:plotArea>
    <c:plotVisOnly val="0"/>
    <c:dispBlanksAs val="gap"/>
    <c:showDLblsOverMax val="0"/>
  </c:chart>
  <c:txPr>
    <a:bodyPr/>
    <a:lstStyle/>
    <a:p>
      <a:pPr>
        <a:defRPr lang="zh-CN" sz="800"/>
      </a:pPr>
    </a:p>
  </c:txPr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Radio" checked="Checked" firstButton="1" noThreeD="1" val="0"/>
</file>

<file path=xl/ctrlProps/ctrlProp2.xml><?xml version="1.0" encoding="utf-8"?>
<formControlPr xmlns="http://schemas.microsoft.com/office/spreadsheetml/2009/9/main" objectType="Radio" noThreeD="1" val="0"/>
</file>

<file path=xl/ctrlProps/ctrlProp3.xml><?xml version="1.0" encoding="utf-8"?>
<formControlPr xmlns="http://schemas.microsoft.com/office/spreadsheetml/2009/9/main" objectType="Radio" noThreeD="1" val="0"/>
</file>

<file path=xl/ctrlProps/ctrlProp4.xml><?xml version="1.0" encoding="utf-8"?>
<formControlPr xmlns="http://schemas.microsoft.com/office/spreadsheetml/2009/9/main" objectType="Radio" noThreeD="1" val="0"/>
</file>

<file path=xl/drawings/_rels/drawing1.xml.rels><?xml version="1.0" encoding="UTF-8" standalone="yes"?>
<Relationships xmlns="http://schemas.openxmlformats.org/package/2006/relationships"><Relationship Id="rId9" Type="http://schemas.openxmlformats.org/officeDocument/2006/relationships/image" Target="../media/image4.emf"/><Relationship Id="rId8" Type="http://schemas.openxmlformats.org/officeDocument/2006/relationships/image" Target="../media/image3.emf"/><Relationship Id="rId7" Type="http://schemas.openxmlformats.org/officeDocument/2006/relationships/image" Target="../media/image2.emf"/><Relationship Id="rId6" Type="http://schemas.openxmlformats.org/officeDocument/2006/relationships/image" Target="../media/image1.emf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3" Type="http://schemas.openxmlformats.org/officeDocument/2006/relationships/chart" Target="../charts/chart3.xml"/><Relationship Id="rId27" Type="http://schemas.openxmlformats.org/officeDocument/2006/relationships/image" Target="../media/image22.emf"/><Relationship Id="rId26" Type="http://schemas.openxmlformats.org/officeDocument/2006/relationships/image" Target="../media/image21.emf"/><Relationship Id="rId25" Type="http://schemas.openxmlformats.org/officeDocument/2006/relationships/image" Target="../media/image20.emf"/><Relationship Id="rId24" Type="http://schemas.openxmlformats.org/officeDocument/2006/relationships/image" Target="../media/image19.emf"/><Relationship Id="rId23" Type="http://schemas.openxmlformats.org/officeDocument/2006/relationships/image" Target="../media/image18.emf"/><Relationship Id="rId22" Type="http://schemas.openxmlformats.org/officeDocument/2006/relationships/image" Target="../media/image17.emf"/><Relationship Id="rId21" Type="http://schemas.openxmlformats.org/officeDocument/2006/relationships/image" Target="../media/image16.emf"/><Relationship Id="rId20" Type="http://schemas.openxmlformats.org/officeDocument/2006/relationships/image" Target="../media/image15.emf"/><Relationship Id="rId2" Type="http://schemas.openxmlformats.org/officeDocument/2006/relationships/chart" Target="../charts/chart2.xml"/><Relationship Id="rId19" Type="http://schemas.openxmlformats.org/officeDocument/2006/relationships/image" Target="../media/image14.emf"/><Relationship Id="rId18" Type="http://schemas.openxmlformats.org/officeDocument/2006/relationships/image" Target="../media/image13.emf"/><Relationship Id="rId17" Type="http://schemas.openxmlformats.org/officeDocument/2006/relationships/image" Target="../media/image12.emf"/><Relationship Id="rId16" Type="http://schemas.openxmlformats.org/officeDocument/2006/relationships/image" Target="../media/image11.emf"/><Relationship Id="rId15" Type="http://schemas.openxmlformats.org/officeDocument/2006/relationships/image" Target="../media/image10.emf"/><Relationship Id="rId14" Type="http://schemas.openxmlformats.org/officeDocument/2006/relationships/image" Target="../media/image9.emf"/><Relationship Id="rId13" Type="http://schemas.openxmlformats.org/officeDocument/2006/relationships/image" Target="../media/image8.emf"/><Relationship Id="rId12" Type="http://schemas.openxmlformats.org/officeDocument/2006/relationships/image" Target="../media/image7.emf"/><Relationship Id="rId11" Type="http://schemas.openxmlformats.org/officeDocument/2006/relationships/image" Target="../media/image6.emf"/><Relationship Id="rId10" Type="http://schemas.openxmlformats.org/officeDocument/2006/relationships/image" Target="../media/image5.emf"/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9" Type="http://schemas.openxmlformats.org/officeDocument/2006/relationships/image" Target="../media/image31.emf"/><Relationship Id="rId8" Type="http://schemas.openxmlformats.org/officeDocument/2006/relationships/image" Target="../media/image30.emf"/><Relationship Id="rId7" Type="http://schemas.openxmlformats.org/officeDocument/2006/relationships/image" Target="../media/image29.emf"/><Relationship Id="rId6" Type="http://schemas.openxmlformats.org/officeDocument/2006/relationships/image" Target="../media/image28.emf"/><Relationship Id="rId5" Type="http://schemas.openxmlformats.org/officeDocument/2006/relationships/image" Target="../media/image27.emf"/><Relationship Id="rId4" Type="http://schemas.openxmlformats.org/officeDocument/2006/relationships/image" Target="../media/image26.emf"/><Relationship Id="rId3" Type="http://schemas.openxmlformats.org/officeDocument/2006/relationships/image" Target="../media/image25.emf"/><Relationship Id="rId2" Type="http://schemas.openxmlformats.org/officeDocument/2006/relationships/image" Target="../media/image24.emf"/><Relationship Id="rId1" Type="http://schemas.openxmlformats.org/officeDocument/2006/relationships/image" Target="../media/image23.emf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3</xdr:col>
      <xdr:colOff>247650</xdr:colOff>
      <xdr:row>44</xdr:row>
      <xdr:rowOff>66675</xdr:rowOff>
    </xdr:from>
    <xdr:to>
      <xdr:col>3</xdr:col>
      <xdr:colOff>247650</xdr:colOff>
      <xdr:row>44</xdr:row>
      <xdr:rowOff>66675</xdr:rowOff>
    </xdr:to>
    <xdr:sp>
      <xdr:nvSpPr>
        <xdr:cNvPr id="2" name="Line 1"/>
        <xdr:cNvSpPr>
          <a:spLocks noChangeShapeType="1"/>
        </xdr:cNvSpPr>
      </xdr:nvSpPr>
      <xdr:spPr>
        <a:xfrm>
          <a:off x="790575" y="77057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247650</xdr:colOff>
      <xdr:row>55</xdr:row>
      <xdr:rowOff>66675</xdr:rowOff>
    </xdr:from>
    <xdr:to>
      <xdr:col>3</xdr:col>
      <xdr:colOff>247650</xdr:colOff>
      <xdr:row>55</xdr:row>
      <xdr:rowOff>66675</xdr:rowOff>
    </xdr:to>
    <xdr:sp>
      <xdr:nvSpPr>
        <xdr:cNvPr id="3" name="Line 2"/>
        <xdr:cNvSpPr>
          <a:spLocks noChangeShapeType="1"/>
        </xdr:cNvSpPr>
      </xdr:nvSpPr>
      <xdr:spPr>
        <a:xfrm>
          <a:off x="790575" y="8439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247650</xdr:colOff>
      <xdr:row>46</xdr:row>
      <xdr:rowOff>19050</xdr:rowOff>
    </xdr:from>
    <xdr:to>
      <xdr:col>3</xdr:col>
      <xdr:colOff>247650</xdr:colOff>
      <xdr:row>46</xdr:row>
      <xdr:rowOff>19050</xdr:rowOff>
    </xdr:to>
    <xdr:sp>
      <xdr:nvSpPr>
        <xdr:cNvPr id="4" name="Line 3"/>
        <xdr:cNvSpPr>
          <a:spLocks noChangeShapeType="1"/>
        </xdr:cNvSpPr>
      </xdr:nvSpPr>
      <xdr:spPr>
        <a:xfrm>
          <a:off x="790575" y="779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247650</xdr:colOff>
      <xdr:row>78</xdr:row>
      <xdr:rowOff>0</xdr:rowOff>
    </xdr:from>
    <xdr:to>
      <xdr:col>3</xdr:col>
      <xdr:colOff>247650</xdr:colOff>
      <xdr:row>78</xdr:row>
      <xdr:rowOff>0</xdr:rowOff>
    </xdr:to>
    <xdr:sp>
      <xdr:nvSpPr>
        <xdr:cNvPr id="5" name="Line 4"/>
        <xdr:cNvSpPr>
          <a:spLocks noChangeShapeType="1"/>
        </xdr:cNvSpPr>
      </xdr:nvSpPr>
      <xdr:spPr>
        <a:xfrm>
          <a:off x="790575" y="993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247650</xdr:colOff>
      <xdr:row>78</xdr:row>
      <xdr:rowOff>0</xdr:rowOff>
    </xdr:from>
    <xdr:to>
      <xdr:col>3</xdr:col>
      <xdr:colOff>247650</xdr:colOff>
      <xdr:row>78</xdr:row>
      <xdr:rowOff>0</xdr:rowOff>
    </xdr:to>
    <xdr:sp>
      <xdr:nvSpPr>
        <xdr:cNvPr id="6" name="Line 5"/>
        <xdr:cNvSpPr>
          <a:spLocks noChangeShapeType="1"/>
        </xdr:cNvSpPr>
      </xdr:nvSpPr>
      <xdr:spPr>
        <a:xfrm>
          <a:off x="790575" y="993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247650</xdr:colOff>
      <xdr:row>78</xdr:row>
      <xdr:rowOff>0</xdr:rowOff>
    </xdr:from>
    <xdr:to>
      <xdr:col>3</xdr:col>
      <xdr:colOff>247650</xdr:colOff>
      <xdr:row>78</xdr:row>
      <xdr:rowOff>0</xdr:rowOff>
    </xdr:to>
    <xdr:sp>
      <xdr:nvSpPr>
        <xdr:cNvPr id="7" name="Line 6"/>
        <xdr:cNvSpPr>
          <a:spLocks noChangeShapeType="1"/>
        </xdr:cNvSpPr>
      </xdr:nvSpPr>
      <xdr:spPr>
        <a:xfrm>
          <a:off x="790575" y="99345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342900</xdr:colOff>
      <xdr:row>49</xdr:row>
      <xdr:rowOff>47625</xdr:rowOff>
    </xdr:from>
    <xdr:to>
      <xdr:col>3</xdr:col>
      <xdr:colOff>342900</xdr:colOff>
      <xdr:row>49</xdr:row>
      <xdr:rowOff>47625</xdr:rowOff>
    </xdr:to>
    <xdr:sp>
      <xdr:nvSpPr>
        <xdr:cNvPr id="8" name="Line 7"/>
        <xdr:cNvSpPr>
          <a:spLocks noChangeShapeType="1"/>
        </xdr:cNvSpPr>
      </xdr:nvSpPr>
      <xdr:spPr>
        <a:xfrm>
          <a:off x="885825" y="802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247650</xdr:colOff>
      <xdr:row>92</xdr:row>
      <xdr:rowOff>0</xdr:rowOff>
    </xdr:from>
    <xdr:to>
      <xdr:col>3</xdr:col>
      <xdr:colOff>247650</xdr:colOff>
      <xdr:row>92</xdr:row>
      <xdr:rowOff>0</xdr:rowOff>
    </xdr:to>
    <xdr:sp>
      <xdr:nvSpPr>
        <xdr:cNvPr id="9" name="Line 8"/>
        <xdr:cNvSpPr>
          <a:spLocks noChangeShapeType="1"/>
        </xdr:cNvSpPr>
      </xdr:nvSpPr>
      <xdr:spPr>
        <a:xfrm>
          <a:off x="790575" y="118872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247650</xdr:colOff>
      <xdr:row>83</xdr:row>
      <xdr:rowOff>38100</xdr:rowOff>
    </xdr:from>
    <xdr:to>
      <xdr:col>3</xdr:col>
      <xdr:colOff>247650</xdr:colOff>
      <xdr:row>83</xdr:row>
      <xdr:rowOff>38100</xdr:rowOff>
    </xdr:to>
    <xdr:sp>
      <xdr:nvSpPr>
        <xdr:cNvPr id="10" name="Line 9"/>
        <xdr:cNvSpPr>
          <a:spLocks noChangeShapeType="1"/>
        </xdr:cNvSpPr>
      </xdr:nvSpPr>
      <xdr:spPr>
        <a:xfrm>
          <a:off x="790575" y="10734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 editAs="oneCell">
    <xdr:from>
      <xdr:col>15</xdr:col>
      <xdr:colOff>19050</xdr:colOff>
      <xdr:row>21</xdr:row>
      <xdr:rowOff>9525</xdr:rowOff>
    </xdr:from>
    <xdr:to>
      <xdr:col>15</xdr:col>
      <xdr:colOff>324635</xdr:colOff>
      <xdr:row>22</xdr:row>
      <xdr:rowOff>19049</xdr:rowOff>
    </xdr:to>
    <xdr:pic>
      <xdr:nvPicPr>
        <xdr:cNvPr id="11" name="Picture 10"/>
        <xdr:cNvPicPr>
          <a:picLocks noChangeAspect="1" noChangeArrowheads="1"/>
        </xdr:cNvPicPr>
      </xdr:nvPicPr>
      <xdr:blipFill>
        <a:blip r:embed="rId6" cstate="print"/>
        <a:srcRect/>
        <a:stretch>
          <a:fillRect/>
        </a:stretch>
      </xdr:blipFill>
      <xdr:spPr>
        <a:xfrm>
          <a:off x="6153150" y="3219450"/>
          <a:ext cx="305435" cy="180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28575</xdr:colOff>
      <xdr:row>22</xdr:row>
      <xdr:rowOff>161925</xdr:rowOff>
    </xdr:from>
    <xdr:to>
      <xdr:col>15</xdr:col>
      <xdr:colOff>295275</xdr:colOff>
      <xdr:row>24</xdr:row>
      <xdr:rowOff>1572</xdr:rowOff>
    </xdr:to>
    <xdr:pic>
      <xdr:nvPicPr>
        <xdr:cNvPr id="12" name="Picture 11"/>
        <xdr:cNvPicPr>
          <a:picLocks noChangeAspect="1" noChangeArrowheads="1"/>
        </xdr:cNvPicPr>
      </xdr:nvPicPr>
      <xdr:blipFill>
        <a:blip r:embed="rId7" cstate="print"/>
        <a:srcRect/>
        <a:stretch>
          <a:fillRect/>
        </a:stretch>
      </xdr:blipFill>
      <xdr:spPr>
        <a:xfrm>
          <a:off x="6162675" y="3543300"/>
          <a:ext cx="266700" cy="1822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28575</xdr:colOff>
      <xdr:row>27</xdr:row>
      <xdr:rowOff>0</xdr:rowOff>
    </xdr:from>
    <xdr:to>
      <xdr:col>16</xdr:col>
      <xdr:colOff>1</xdr:colOff>
      <xdr:row>28</xdr:row>
      <xdr:rowOff>9526</xdr:rowOff>
    </xdr:to>
    <xdr:pic>
      <xdr:nvPicPr>
        <xdr:cNvPr id="13" name="Picture 12"/>
        <xdr:cNvPicPr>
          <a:picLocks noChangeAspect="1" noChangeArrowheads="1"/>
        </xdr:cNvPicPr>
      </xdr:nvPicPr>
      <xdr:blipFill>
        <a:blip r:embed="rId8" cstate="print"/>
        <a:srcRect/>
        <a:stretch>
          <a:fillRect/>
        </a:stretch>
      </xdr:blipFill>
      <xdr:spPr>
        <a:xfrm>
          <a:off x="6162675" y="4410075"/>
          <a:ext cx="29527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38100</xdr:colOff>
      <xdr:row>29</xdr:row>
      <xdr:rowOff>9525</xdr:rowOff>
    </xdr:from>
    <xdr:to>
      <xdr:col>15</xdr:col>
      <xdr:colOff>295275</xdr:colOff>
      <xdr:row>30</xdr:row>
      <xdr:rowOff>19049</xdr:rowOff>
    </xdr:to>
    <xdr:pic>
      <xdr:nvPicPr>
        <xdr:cNvPr id="14" name="Picture 13"/>
        <xdr:cNvPicPr>
          <a:picLocks noChangeAspect="1" noChangeArrowheads="1"/>
        </xdr:cNvPicPr>
      </xdr:nvPicPr>
      <xdr:blipFill>
        <a:blip r:embed="rId9" cstate="print"/>
        <a:srcRect/>
        <a:stretch>
          <a:fillRect/>
        </a:stretch>
      </xdr:blipFill>
      <xdr:spPr>
        <a:xfrm>
          <a:off x="6172200" y="4762500"/>
          <a:ext cx="257175" cy="180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28575</xdr:colOff>
      <xdr:row>33</xdr:row>
      <xdr:rowOff>0</xdr:rowOff>
    </xdr:from>
    <xdr:to>
      <xdr:col>16</xdr:col>
      <xdr:colOff>1</xdr:colOff>
      <xdr:row>34</xdr:row>
      <xdr:rowOff>28574</xdr:rowOff>
    </xdr:to>
    <xdr:pic>
      <xdr:nvPicPr>
        <xdr:cNvPr id="15" name="Picture 14"/>
        <xdr:cNvPicPr>
          <a:picLocks noChangeAspect="1" noChangeArrowheads="1"/>
        </xdr:cNvPicPr>
      </xdr:nvPicPr>
      <xdr:blipFill>
        <a:blip r:embed="rId10" cstate="print"/>
        <a:srcRect/>
        <a:stretch>
          <a:fillRect/>
        </a:stretch>
      </xdr:blipFill>
      <xdr:spPr>
        <a:xfrm>
          <a:off x="6162675" y="5610225"/>
          <a:ext cx="295275" cy="1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35</xdr:row>
      <xdr:rowOff>0</xdr:rowOff>
    </xdr:from>
    <xdr:to>
      <xdr:col>15</xdr:col>
      <xdr:colOff>324635</xdr:colOff>
      <xdr:row>36</xdr:row>
      <xdr:rowOff>19051</xdr:rowOff>
    </xdr:to>
    <xdr:pic>
      <xdr:nvPicPr>
        <xdr:cNvPr id="16" name="Picture 15"/>
        <xdr:cNvPicPr>
          <a:picLocks noChangeAspect="1" noChangeArrowheads="1"/>
        </xdr:cNvPicPr>
      </xdr:nvPicPr>
      <xdr:blipFill>
        <a:blip r:embed="rId11" cstate="print"/>
        <a:srcRect/>
        <a:stretch>
          <a:fillRect/>
        </a:stretch>
      </xdr:blipFill>
      <xdr:spPr>
        <a:xfrm>
          <a:off x="6181725" y="5953125"/>
          <a:ext cx="276860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47625</xdr:colOff>
      <xdr:row>36</xdr:row>
      <xdr:rowOff>28575</xdr:rowOff>
    </xdr:from>
    <xdr:to>
      <xdr:col>15</xdr:col>
      <xdr:colOff>285750</xdr:colOff>
      <xdr:row>36</xdr:row>
      <xdr:rowOff>209550</xdr:rowOff>
    </xdr:to>
    <xdr:pic>
      <xdr:nvPicPr>
        <xdr:cNvPr id="17" name="Picture 16"/>
        <xdr:cNvPicPr>
          <a:picLocks noChangeAspect="1" noChangeArrowheads="1"/>
        </xdr:cNvPicPr>
      </xdr:nvPicPr>
      <xdr:blipFill>
        <a:blip r:embed="rId12" cstate="print"/>
        <a:srcRect/>
        <a:stretch>
          <a:fillRect/>
        </a:stretch>
      </xdr:blipFill>
      <xdr:spPr>
        <a:xfrm>
          <a:off x="6181725" y="6153150"/>
          <a:ext cx="23812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15</xdr:col>
      <xdr:colOff>76200</xdr:colOff>
      <xdr:row>37</xdr:row>
      <xdr:rowOff>28575</xdr:rowOff>
    </xdr:from>
    <xdr:to>
      <xdr:col>16</xdr:col>
      <xdr:colOff>2486</xdr:colOff>
      <xdr:row>38</xdr:row>
      <xdr:rowOff>9525</xdr:rowOff>
    </xdr:to>
    <xdr:pic>
      <xdr:nvPicPr>
        <xdr:cNvPr id="18" name="Picture 17"/>
        <xdr:cNvPicPr>
          <a:picLocks noChangeAspect="1" noChangeArrowheads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6210300" y="6400800"/>
          <a:ext cx="24955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85725</xdr:colOff>
      <xdr:row>36</xdr:row>
      <xdr:rowOff>38100</xdr:rowOff>
    </xdr:from>
    <xdr:to>
      <xdr:col>3</xdr:col>
      <xdr:colOff>285750</xdr:colOff>
      <xdr:row>36</xdr:row>
      <xdr:rowOff>238125</xdr:rowOff>
    </xdr:to>
    <xdr:pic>
      <xdr:nvPicPr>
        <xdr:cNvPr id="19" name="Picture 18"/>
        <xdr:cNvPicPr>
          <a:picLocks noChangeAspect="1" noChangeArrowheads="1"/>
        </xdr:cNvPicPr>
      </xdr:nvPicPr>
      <xdr:blipFill>
        <a:blip r:embed="rId14" cstate="print"/>
        <a:srcRect/>
        <a:stretch>
          <a:fillRect/>
        </a:stretch>
      </xdr:blipFill>
      <xdr:spPr>
        <a:xfrm>
          <a:off x="628650" y="6162675"/>
          <a:ext cx="20002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0</xdr:colOff>
      <xdr:row>39</xdr:row>
      <xdr:rowOff>19050</xdr:rowOff>
    </xdr:from>
    <xdr:to>
      <xdr:col>7</xdr:col>
      <xdr:colOff>92825</xdr:colOff>
      <xdr:row>39</xdr:row>
      <xdr:rowOff>180975</xdr:rowOff>
    </xdr:to>
    <xdr:pic>
      <xdr:nvPicPr>
        <xdr:cNvPr id="20" name="Picture 19"/>
        <xdr:cNvPicPr>
          <a:picLocks noChangeAspect="1" noChangeArrowheads="1"/>
        </xdr:cNvPicPr>
      </xdr:nvPicPr>
      <xdr:blipFill>
        <a:blip r:embed="rId15" cstate="print"/>
        <a:srcRect/>
        <a:stretch>
          <a:fillRect/>
        </a:stretch>
      </xdr:blipFill>
      <xdr:spPr>
        <a:xfrm>
          <a:off x="885825" y="6781800"/>
          <a:ext cx="1521460" cy="161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66675</xdr:colOff>
      <xdr:row>39</xdr:row>
      <xdr:rowOff>190500</xdr:rowOff>
    </xdr:from>
    <xdr:to>
      <xdr:col>5</xdr:col>
      <xdr:colOff>225168</xdr:colOff>
      <xdr:row>41</xdr:row>
      <xdr:rowOff>9525</xdr:rowOff>
    </xdr:to>
    <xdr:pic>
      <xdr:nvPicPr>
        <xdr:cNvPr id="21" name="Picture 20"/>
        <xdr:cNvPicPr>
          <a:picLocks noChangeAspect="1" noChangeArrowheads="1"/>
        </xdr:cNvPicPr>
      </xdr:nvPicPr>
      <xdr:blipFill>
        <a:blip r:embed="rId16" cstate="print"/>
        <a:srcRect/>
        <a:stretch>
          <a:fillRect/>
        </a:stretch>
      </xdr:blipFill>
      <xdr:spPr>
        <a:xfrm>
          <a:off x="609600" y="6953250"/>
          <a:ext cx="97726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57150</xdr:colOff>
      <xdr:row>40</xdr:row>
      <xdr:rowOff>180975</xdr:rowOff>
    </xdr:from>
    <xdr:to>
      <xdr:col>5</xdr:col>
      <xdr:colOff>215643</xdr:colOff>
      <xdr:row>42</xdr:row>
      <xdr:rowOff>1</xdr:rowOff>
    </xdr:to>
    <xdr:pic>
      <xdr:nvPicPr>
        <xdr:cNvPr id="22" name="Picture 21"/>
        <xdr:cNvPicPr>
          <a:picLocks noChangeAspect="1" noChangeArrowheads="1"/>
        </xdr:cNvPicPr>
      </xdr:nvPicPr>
      <xdr:blipFill>
        <a:blip r:embed="rId17" cstate="print"/>
        <a:srcRect/>
        <a:stretch>
          <a:fillRect/>
        </a:stretch>
      </xdr:blipFill>
      <xdr:spPr>
        <a:xfrm>
          <a:off x="600075" y="7143750"/>
          <a:ext cx="977265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352425</xdr:colOff>
      <xdr:row>40</xdr:row>
      <xdr:rowOff>9525</xdr:rowOff>
    </xdr:from>
    <xdr:to>
      <xdr:col>10</xdr:col>
      <xdr:colOff>161637</xdr:colOff>
      <xdr:row>41</xdr:row>
      <xdr:rowOff>1</xdr:rowOff>
    </xdr:to>
    <xdr:pic>
      <xdr:nvPicPr>
        <xdr:cNvPr id="23" name="Picture 22"/>
        <xdr:cNvPicPr>
          <a:picLocks noChangeAspect="1" noChangeArrowheads="1"/>
        </xdr:cNvPicPr>
      </xdr:nvPicPr>
      <xdr:blipFill>
        <a:blip r:embed="rId18" cstate="print"/>
        <a:srcRect/>
        <a:stretch>
          <a:fillRect/>
        </a:stretch>
      </xdr:blipFill>
      <xdr:spPr>
        <a:xfrm>
          <a:off x="3143250" y="6972300"/>
          <a:ext cx="76136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361950</xdr:colOff>
      <xdr:row>41</xdr:row>
      <xdr:rowOff>9525</xdr:rowOff>
    </xdr:from>
    <xdr:to>
      <xdr:col>10</xdr:col>
      <xdr:colOff>171162</xdr:colOff>
      <xdr:row>42</xdr:row>
      <xdr:rowOff>0</xdr:rowOff>
    </xdr:to>
    <xdr:pic>
      <xdr:nvPicPr>
        <xdr:cNvPr id="24" name="Picture 23"/>
        <xdr:cNvPicPr>
          <a:picLocks noChangeAspect="1" noChangeArrowheads="1"/>
        </xdr:cNvPicPr>
      </xdr:nvPicPr>
      <xdr:blipFill>
        <a:blip r:embed="rId19" cstate="print"/>
        <a:srcRect/>
        <a:stretch>
          <a:fillRect/>
        </a:stretch>
      </xdr:blipFill>
      <xdr:spPr>
        <a:xfrm>
          <a:off x="3152775" y="7172325"/>
          <a:ext cx="761365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161925</xdr:colOff>
      <xdr:row>96</xdr:row>
      <xdr:rowOff>200025</xdr:rowOff>
    </xdr:from>
    <xdr:to>
      <xdr:col>4</xdr:col>
      <xdr:colOff>158611</xdr:colOff>
      <xdr:row>98</xdr:row>
      <xdr:rowOff>28575</xdr:rowOff>
    </xdr:to>
    <xdr:pic>
      <xdr:nvPicPr>
        <xdr:cNvPr id="25" name="Picture 24"/>
        <xdr:cNvPicPr>
          <a:picLocks noChangeAspect="1" noChangeArrowheads="1"/>
        </xdr:cNvPicPr>
      </xdr:nvPicPr>
      <xdr:blipFill>
        <a:blip r:embed="rId20" cstate="print"/>
        <a:srcRect/>
        <a:stretch>
          <a:fillRect/>
        </a:stretch>
      </xdr:blipFill>
      <xdr:spPr>
        <a:xfrm>
          <a:off x="361950" y="12715875"/>
          <a:ext cx="681990" cy="228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152400</xdr:colOff>
      <xdr:row>101</xdr:row>
      <xdr:rowOff>142875</xdr:rowOff>
    </xdr:from>
    <xdr:to>
      <xdr:col>6</xdr:col>
      <xdr:colOff>189434</xdr:colOff>
      <xdr:row>102</xdr:row>
      <xdr:rowOff>190502</xdr:rowOff>
    </xdr:to>
    <xdr:pic>
      <xdr:nvPicPr>
        <xdr:cNvPr id="26" name="Picture 25"/>
        <xdr:cNvPicPr>
          <a:picLocks noChangeAspect="1" noChangeArrowheads="1"/>
        </xdr:cNvPicPr>
      </xdr:nvPicPr>
      <xdr:blipFill>
        <a:blip r:embed="rId21" cstate="print"/>
        <a:srcRect/>
        <a:stretch>
          <a:fillRect/>
        </a:stretch>
      </xdr:blipFill>
      <xdr:spPr>
        <a:xfrm>
          <a:off x="352425" y="13744575"/>
          <a:ext cx="167513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28575</xdr:colOff>
      <xdr:row>106</xdr:row>
      <xdr:rowOff>200025</xdr:rowOff>
    </xdr:from>
    <xdr:to>
      <xdr:col>5</xdr:col>
      <xdr:colOff>27627</xdr:colOff>
      <xdr:row>108</xdr:row>
      <xdr:rowOff>19050</xdr:rowOff>
    </xdr:to>
    <xdr:pic>
      <xdr:nvPicPr>
        <xdr:cNvPr id="27" name="Picture 26"/>
        <xdr:cNvPicPr>
          <a:picLocks noChangeAspect="1" noChangeArrowheads="1"/>
        </xdr:cNvPicPr>
      </xdr:nvPicPr>
      <xdr:blipFill>
        <a:blip r:embed="rId22" cstate="print"/>
        <a:srcRect/>
        <a:stretch>
          <a:fillRect/>
        </a:stretch>
      </xdr:blipFill>
      <xdr:spPr>
        <a:xfrm>
          <a:off x="228600" y="14887575"/>
          <a:ext cx="116078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381000</xdr:colOff>
      <xdr:row>96</xdr:row>
      <xdr:rowOff>28575</xdr:rowOff>
    </xdr:from>
    <xdr:to>
      <xdr:col>14</xdr:col>
      <xdr:colOff>257650</xdr:colOff>
      <xdr:row>97</xdr:row>
      <xdr:rowOff>9524</xdr:rowOff>
    </xdr:to>
    <xdr:pic>
      <xdr:nvPicPr>
        <xdr:cNvPr id="28" name="Picture 27"/>
        <xdr:cNvPicPr>
          <a:picLocks noChangeAspect="1" noChangeArrowheads="1"/>
        </xdr:cNvPicPr>
      </xdr:nvPicPr>
      <xdr:blipFill>
        <a:blip r:embed="rId23" cstate="print"/>
        <a:srcRect/>
        <a:stretch>
          <a:fillRect/>
        </a:stretch>
      </xdr:blipFill>
      <xdr:spPr>
        <a:xfrm>
          <a:off x="4600575" y="12544425"/>
          <a:ext cx="1304925" cy="180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381000</xdr:colOff>
      <xdr:row>101</xdr:row>
      <xdr:rowOff>38100</xdr:rowOff>
    </xdr:from>
    <xdr:to>
      <xdr:col>14</xdr:col>
      <xdr:colOff>256111</xdr:colOff>
      <xdr:row>102</xdr:row>
      <xdr:rowOff>19052</xdr:rowOff>
    </xdr:to>
    <xdr:pic>
      <xdr:nvPicPr>
        <xdr:cNvPr id="29" name="Picture 28"/>
        <xdr:cNvPicPr>
          <a:picLocks noChangeAspect="1" noChangeArrowheads="1"/>
        </xdr:cNvPicPr>
      </xdr:nvPicPr>
      <xdr:blipFill>
        <a:blip r:embed="rId24" cstate="print"/>
        <a:srcRect/>
        <a:stretch>
          <a:fillRect/>
        </a:stretch>
      </xdr:blipFill>
      <xdr:spPr>
        <a:xfrm>
          <a:off x="4600575" y="13639800"/>
          <a:ext cx="1303655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228600</xdr:colOff>
      <xdr:row>106</xdr:row>
      <xdr:rowOff>38100</xdr:rowOff>
    </xdr:from>
    <xdr:to>
      <xdr:col>14</xdr:col>
      <xdr:colOff>355088</xdr:colOff>
      <xdr:row>107</xdr:row>
      <xdr:rowOff>19049</xdr:rowOff>
    </xdr:to>
    <xdr:pic>
      <xdr:nvPicPr>
        <xdr:cNvPr id="30" name="Picture 29"/>
        <xdr:cNvPicPr>
          <a:picLocks noChangeAspect="1" noChangeArrowheads="1"/>
        </xdr:cNvPicPr>
      </xdr:nvPicPr>
      <xdr:blipFill>
        <a:blip r:embed="rId25" cstate="print"/>
        <a:srcRect/>
        <a:stretch>
          <a:fillRect/>
        </a:stretch>
      </xdr:blipFill>
      <xdr:spPr>
        <a:xfrm>
          <a:off x="4448175" y="14725650"/>
          <a:ext cx="1555115" cy="1803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333375</xdr:colOff>
      <xdr:row>111</xdr:row>
      <xdr:rowOff>38100</xdr:rowOff>
    </xdr:from>
    <xdr:to>
      <xdr:col>14</xdr:col>
      <xdr:colOff>288413</xdr:colOff>
      <xdr:row>112</xdr:row>
      <xdr:rowOff>38099</xdr:rowOff>
    </xdr:to>
    <xdr:pic>
      <xdr:nvPicPr>
        <xdr:cNvPr id="31" name="Picture 30"/>
        <xdr:cNvPicPr>
          <a:picLocks noChangeAspect="1" noChangeArrowheads="1"/>
        </xdr:cNvPicPr>
      </xdr:nvPicPr>
      <xdr:blipFill>
        <a:blip r:embed="rId26" cstate="print"/>
        <a:srcRect/>
        <a:stretch>
          <a:fillRect/>
        </a:stretch>
      </xdr:blipFill>
      <xdr:spPr>
        <a:xfrm>
          <a:off x="4552950" y="15811500"/>
          <a:ext cx="1383665" cy="1993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4</xdr:col>
      <xdr:colOff>238125</xdr:colOff>
      <xdr:row>93</xdr:row>
      <xdr:rowOff>0</xdr:rowOff>
    </xdr:from>
    <xdr:to>
      <xdr:col>4</xdr:col>
      <xdr:colOff>418744</xdr:colOff>
      <xdr:row>93</xdr:row>
      <xdr:rowOff>180975</xdr:rowOff>
    </xdr:to>
    <xdr:pic>
      <xdr:nvPicPr>
        <xdr:cNvPr id="32" name="Picture 31"/>
        <xdr:cNvPicPr>
          <a:picLocks noChangeAspect="1" noChangeArrowheads="1"/>
        </xdr:cNvPicPr>
      </xdr:nvPicPr>
      <xdr:blipFill>
        <a:blip r:embed="rId27" cstate="print"/>
        <a:srcRect/>
        <a:stretch>
          <a:fillRect/>
        </a:stretch>
      </xdr:blipFill>
      <xdr:spPr>
        <a:xfrm>
          <a:off x="1123950" y="11915775"/>
          <a:ext cx="180340" cy="180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171450</xdr:colOff>
      <xdr:row>93</xdr:row>
      <xdr:rowOff>28575</xdr:rowOff>
    </xdr:from>
    <xdr:to>
      <xdr:col>10</xdr:col>
      <xdr:colOff>380645</xdr:colOff>
      <xdr:row>93</xdr:row>
      <xdr:rowOff>200025</xdr:rowOff>
    </xdr:to>
    <xdr:pic>
      <xdr:nvPicPr>
        <xdr:cNvPr id="33" name="Picture 32"/>
        <xdr:cNvPicPr>
          <a:picLocks noChangeAspect="1" noChangeArrowheads="1"/>
        </xdr:cNvPicPr>
      </xdr:nvPicPr>
      <xdr:blipFill>
        <a:blip r:embed="rId13" cstate="print"/>
        <a:srcRect/>
        <a:stretch>
          <a:fillRect/>
        </a:stretch>
      </xdr:blipFill>
      <xdr:spPr>
        <a:xfrm>
          <a:off x="3914775" y="11944350"/>
          <a:ext cx="208915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153865</xdr:colOff>
      <xdr:row>44</xdr:row>
      <xdr:rowOff>33131</xdr:rowOff>
    </xdr:from>
    <xdr:to>
      <xdr:col>16</xdr:col>
      <xdr:colOff>539621</xdr:colOff>
      <xdr:row>77</xdr:row>
      <xdr:rowOff>57410</xdr:rowOff>
    </xdr:to>
    <xdr:grpSp>
      <xdr:nvGrpSpPr>
        <xdr:cNvPr id="36" name="Group 41"/>
        <xdr:cNvGrpSpPr/>
      </xdr:nvGrpSpPr>
      <xdr:grpSpPr>
        <a:xfrm>
          <a:off x="353695" y="7672070"/>
          <a:ext cx="6643370" cy="2243455"/>
          <a:chOff x="34" y="728"/>
          <a:chExt cx="652" cy="280"/>
        </a:xfrm>
      </xdr:grpSpPr>
      <xdr:graphicFrame>
        <xdr:nvGraphicFramePr>
          <xdr:cNvPr id="37" name="Chart 42"/>
          <xdr:cNvGraphicFramePr/>
        </xdr:nvGraphicFramePr>
        <xdr:xfrm>
          <a:off x="34" y="728"/>
          <a:ext cx="652" cy="1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>
        <xdr:nvGraphicFramePr>
          <xdr:cNvPr id="38" name="Chart 43"/>
          <xdr:cNvGraphicFramePr/>
        </xdr:nvGraphicFramePr>
        <xdr:xfrm>
          <a:off x="34" y="872"/>
          <a:ext cx="652" cy="1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3</xdr:col>
      <xdr:colOff>247650</xdr:colOff>
      <xdr:row>178</xdr:row>
      <xdr:rowOff>0</xdr:rowOff>
    </xdr:from>
    <xdr:to>
      <xdr:col>3</xdr:col>
      <xdr:colOff>247650</xdr:colOff>
      <xdr:row>178</xdr:row>
      <xdr:rowOff>0</xdr:rowOff>
    </xdr:to>
    <xdr:sp>
      <xdr:nvSpPr>
        <xdr:cNvPr id="39" name="Line 104"/>
        <xdr:cNvSpPr>
          <a:spLocks noChangeShapeType="1"/>
        </xdr:cNvSpPr>
      </xdr:nvSpPr>
      <xdr:spPr>
        <a:xfrm>
          <a:off x="790575" y="216789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3</xdr:col>
      <xdr:colOff>247650</xdr:colOff>
      <xdr:row>169</xdr:row>
      <xdr:rowOff>38100</xdr:rowOff>
    </xdr:from>
    <xdr:to>
      <xdr:col>3</xdr:col>
      <xdr:colOff>247650</xdr:colOff>
      <xdr:row>169</xdr:row>
      <xdr:rowOff>38100</xdr:rowOff>
    </xdr:to>
    <xdr:sp>
      <xdr:nvSpPr>
        <xdr:cNvPr id="40" name="Line 105"/>
        <xdr:cNvSpPr>
          <a:spLocks noChangeShapeType="1"/>
        </xdr:cNvSpPr>
      </xdr:nvSpPr>
      <xdr:spPr>
        <a:xfrm>
          <a:off x="790575" y="20621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</a:ln>
      </xdr:spPr>
    </xdr:sp>
    <xdr:clientData/>
  </xdr:twoCellAnchor>
  <xdr:twoCellAnchor>
    <xdr:from>
      <xdr:col>0</xdr:col>
      <xdr:colOff>36635</xdr:colOff>
      <xdr:row>199</xdr:row>
      <xdr:rowOff>21981</xdr:rowOff>
    </xdr:from>
    <xdr:to>
      <xdr:col>16</xdr:col>
      <xdr:colOff>608134</xdr:colOff>
      <xdr:row>208</xdr:row>
      <xdr:rowOff>4330</xdr:rowOff>
    </xdr:to>
    <xdr:graphicFrame>
      <xdr:nvGraphicFramePr>
        <xdr:cNvPr id="42" name="Chart 132"/>
        <xdr:cNvGraphicFramePr/>
      </xdr:nvGraphicFramePr>
      <xdr:xfrm>
        <a:off x="36195" y="25453340"/>
        <a:ext cx="7029450" cy="141097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277466</xdr:colOff>
      <xdr:row>208</xdr:row>
      <xdr:rowOff>19360</xdr:rowOff>
    </xdr:from>
    <xdr:to>
      <xdr:col>16</xdr:col>
      <xdr:colOff>597652</xdr:colOff>
      <xdr:row>220</xdr:row>
      <xdr:rowOff>147495</xdr:rowOff>
    </xdr:to>
    <xdr:graphicFrame>
      <xdr:nvGraphicFramePr>
        <xdr:cNvPr id="43" name="Chart 136"/>
        <xdr:cNvGraphicFramePr/>
      </xdr:nvGraphicFramePr>
      <xdr:xfrm>
        <a:off x="3543935" y="26879550"/>
        <a:ext cx="3511550" cy="186182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41645</xdr:colOff>
      <xdr:row>208</xdr:row>
      <xdr:rowOff>16565</xdr:rowOff>
    </xdr:from>
    <xdr:to>
      <xdr:col>9</xdr:col>
      <xdr:colOff>273326</xdr:colOff>
      <xdr:row>220</xdr:row>
      <xdr:rowOff>149087</xdr:rowOff>
    </xdr:to>
    <xdr:graphicFrame>
      <xdr:nvGraphicFramePr>
        <xdr:cNvPr id="57" name="图表 56"/>
        <xdr:cNvGraphicFramePr/>
      </xdr:nvGraphicFramePr>
      <xdr:xfrm>
        <a:off x="41275" y="26877010"/>
        <a:ext cx="3498850" cy="186563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0</xdr:colOff>
          <xdr:row>15</xdr:row>
          <xdr:rowOff>0</xdr:rowOff>
        </xdr:from>
        <xdr:to>
          <xdr:col>8</xdr:col>
          <xdr:colOff>9525</xdr:colOff>
          <xdr:row>16</xdr:row>
          <xdr:rowOff>9525</xdr:rowOff>
        </xdr:to>
        <xdr:sp>
          <xdr:nvSpPr>
            <xdr:cNvPr id="11265" name="Option Button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1838325" y="2124075"/>
              <a:ext cx="962025" cy="20955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Regular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400050</xdr:colOff>
          <xdr:row>15</xdr:row>
          <xdr:rowOff>0</xdr:rowOff>
        </xdr:from>
        <xdr:to>
          <xdr:col>9</xdr:col>
          <xdr:colOff>257175</xdr:colOff>
          <xdr:row>16</xdr:row>
          <xdr:rowOff>9525</xdr:rowOff>
        </xdr:to>
        <xdr:sp>
          <xdr:nvSpPr>
            <xdr:cNvPr id="11266" name="Option Button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>
            <a:xfrm>
              <a:off x="2714625" y="2124075"/>
              <a:ext cx="809625" cy="20955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New QCP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66675</xdr:colOff>
          <xdr:row>15</xdr:row>
          <xdr:rowOff>19050</xdr:rowOff>
        </xdr:from>
        <xdr:to>
          <xdr:col>11</xdr:col>
          <xdr:colOff>171450</xdr:colOff>
          <xdr:row>15</xdr:row>
          <xdr:rowOff>180975</xdr:rowOff>
        </xdr:to>
        <xdr:sp>
          <xdr:nvSpPr>
            <xdr:cNvPr id="11267" name="Option Button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>
            <a:xfrm>
              <a:off x="3810000" y="2143125"/>
              <a:ext cx="581025" cy="161925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PPAP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12</xdr:col>
          <xdr:colOff>38100</xdr:colOff>
          <xdr:row>14</xdr:row>
          <xdr:rowOff>19050</xdr:rowOff>
        </xdr:from>
        <xdr:to>
          <xdr:col>13</xdr:col>
          <xdr:colOff>400050</xdr:colOff>
          <xdr:row>16</xdr:row>
          <xdr:rowOff>0</xdr:rowOff>
        </xdr:to>
        <xdr:sp>
          <xdr:nvSpPr>
            <xdr:cNvPr id="11268" name="Option Button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>
            <a:xfrm>
              <a:off x="4733925" y="2114550"/>
              <a:ext cx="838200" cy="209550"/>
            </a:xfrm>
            <a:prstGeom prst="rect">
              <a:avLst/>
            </a:prstGeom>
          </xdr:spPr>
          <xdr:txBody>
            <a:bodyPr vert="horz" wrap="square" anchor="ctr" upright="1"/>
            <a:p>
              <a:pPr algn="l" rtl="0"/>
              <a:r>
                <a:rPr lang="zh-CN" altLang="en-US" sz="900">
                  <a:solidFill>
                    <a:srgbClr val="000000"/>
                  </a:solidFill>
                  <a:latin typeface="宋体" panose="02010600030101010101" pitchFamily="7" charset="-122"/>
                  <a:ea typeface="宋体" panose="02010600030101010101" pitchFamily="7" charset="-122"/>
                  <a:cs typeface="宋体" panose="02010600030101010101" pitchFamily="7" charset="-122"/>
                  <a:sym typeface="宋体" panose="02010600030101010101" pitchFamily="7" charset="-122"/>
                </a:rPr>
                <a:t>Other</a:t>
              </a:r>
              <a:endParaRPr lang="zh-CN" altLang="en-US" sz="900">
                <a:solidFill>
                  <a:srgbClr val="000000"/>
                </a:solidFill>
                <a:latin typeface="宋体" panose="02010600030101010101" pitchFamily="7" charset="-122"/>
                <a:ea typeface="宋体" panose="02010600030101010101" pitchFamily="7" charset="-122"/>
                <a:cs typeface="宋体" panose="02010600030101010101" pitchFamily="7" charset="-122"/>
                <a:sym typeface="宋体" panose="02010600030101010101" pitchFamily="7" charset="-122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400050</xdr:colOff>
          <xdr:row>93</xdr:row>
          <xdr:rowOff>38100</xdr:rowOff>
        </xdr:from>
        <xdr:to>
          <xdr:col>8</xdr:col>
          <xdr:colOff>28575</xdr:colOff>
          <xdr:row>93</xdr:row>
          <xdr:rowOff>200025</xdr:rowOff>
        </xdr:to>
        <xdr:sp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>
            <a:xfrm>
              <a:off x="2238375" y="11953875"/>
              <a:ext cx="581025" cy="1619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112</xdr:row>
          <xdr:rowOff>9525</xdr:rowOff>
        </xdr:from>
        <xdr:to>
          <xdr:col>3</xdr:col>
          <xdr:colOff>295275</xdr:colOff>
          <xdr:row>113</xdr:row>
          <xdr:rowOff>28575</xdr:rowOff>
        </xdr:to>
        <xdr:sp>
          <xdr:nvSpPr>
            <xdr:cNvPr id="11270" name="Object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>
            <a:xfrm>
              <a:off x="247650" y="15982950"/>
              <a:ext cx="590550" cy="2190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118</xdr:row>
          <xdr:rowOff>180975</xdr:rowOff>
        </xdr:from>
        <xdr:to>
          <xdr:col>5</xdr:col>
          <xdr:colOff>371475</xdr:colOff>
          <xdr:row>119</xdr:row>
          <xdr:rowOff>133350</xdr:rowOff>
        </xdr:to>
        <xdr:sp>
          <xdr:nvSpPr>
            <xdr:cNvPr id="11271" name="Object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>
            <a:xfrm>
              <a:off x="942975" y="17354550"/>
              <a:ext cx="790575" cy="1524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118</xdr:row>
          <xdr:rowOff>38100</xdr:rowOff>
        </xdr:from>
        <xdr:to>
          <xdr:col>5</xdr:col>
          <xdr:colOff>171450</xdr:colOff>
          <xdr:row>119</xdr:row>
          <xdr:rowOff>9525</xdr:rowOff>
        </xdr:to>
        <xdr:sp>
          <xdr:nvSpPr>
            <xdr:cNvPr id="11272" name="Object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>
            <a:xfrm>
              <a:off x="942975" y="17211675"/>
              <a:ext cx="590550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57150</xdr:colOff>
          <xdr:row>116</xdr:row>
          <xdr:rowOff>123825</xdr:rowOff>
        </xdr:from>
        <xdr:to>
          <xdr:col>6</xdr:col>
          <xdr:colOff>304800</xdr:colOff>
          <xdr:row>118</xdr:row>
          <xdr:rowOff>28575</xdr:rowOff>
        </xdr:to>
        <xdr:sp>
          <xdr:nvSpPr>
            <xdr:cNvPr id="11273" name="Object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>
            <a:xfrm>
              <a:off x="942975" y="16897350"/>
              <a:ext cx="1200150" cy="30480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104775</xdr:colOff>
          <xdr:row>38</xdr:row>
          <xdr:rowOff>57150</xdr:rowOff>
        </xdr:from>
        <xdr:to>
          <xdr:col>7</xdr:col>
          <xdr:colOff>400050</xdr:colOff>
          <xdr:row>39</xdr:row>
          <xdr:rowOff>28575</xdr:rowOff>
        </xdr:to>
        <xdr:sp>
          <xdr:nvSpPr>
            <xdr:cNvPr id="11274" name="Object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>
            <a:xfrm>
              <a:off x="647700" y="6619875"/>
              <a:ext cx="2066925" cy="17145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4</xdr:col>
          <xdr:colOff>66675</xdr:colOff>
          <xdr:row>119</xdr:row>
          <xdr:rowOff>152400</xdr:rowOff>
        </xdr:from>
        <xdr:to>
          <xdr:col>6</xdr:col>
          <xdr:colOff>171450</xdr:colOff>
          <xdr:row>120</xdr:row>
          <xdr:rowOff>152400</xdr:rowOff>
        </xdr:to>
        <xdr:sp>
          <xdr:nvSpPr>
            <xdr:cNvPr id="11275" name="Object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>
            <a:xfrm>
              <a:off x="952500" y="17526000"/>
              <a:ext cx="1057275" cy="20002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113</xdr:row>
          <xdr:rowOff>47625</xdr:rowOff>
        </xdr:from>
        <xdr:to>
          <xdr:col>7</xdr:col>
          <xdr:colOff>152400</xdr:colOff>
          <xdr:row>114</xdr:row>
          <xdr:rowOff>104775</xdr:rowOff>
        </xdr:to>
        <xdr:sp>
          <xdr:nvSpPr>
            <xdr:cNvPr id="11276" name="Object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>
            <a:xfrm>
              <a:off x="1724025" y="16221075"/>
              <a:ext cx="742950" cy="257175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361950</xdr:colOff>
          <xdr:row>114</xdr:row>
          <xdr:rowOff>57150</xdr:rowOff>
        </xdr:from>
        <xdr:to>
          <xdr:col>8</xdr:col>
          <xdr:colOff>38100</xdr:colOff>
          <xdr:row>115</xdr:row>
          <xdr:rowOff>85725</xdr:rowOff>
        </xdr:to>
        <xdr:sp>
          <xdr:nvSpPr>
            <xdr:cNvPr id="11277" name="Object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>
            <a:xfrm>
              <a:off x="1724025" y="16430625"/>
              <a:ext cx="1104900" cy="22860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0.50197</cdr:x>
      <cdr:y>0.49087</cdr:y>
    </cdr:from>
    <cdr:to>
      <cdr:x>0.51034</cdr:x>
      <cdr:y>0.56955</cdr:y>
    </cdr:to>
    <cdr:sp>
      <cdr:nvSpPr>
        <cdr:cNvPr id="2" name="矩形 1"/>
        <cdr:cNvSpPr>
          <a14:cpLocks xmlns:a14="http://schemas.microsoft.com/office/drawing/2010/main" noChangeArrowheads="1"/>
        </cdr:cNvSpPr>
      </cdr:nvSpPr>
      <cdr:spPr xmlns:a="http://schemas.openxmlformats.org/drawingml/2006/main">
        <a:xfrm xmlns:a="http://schemas.openxmlformats.org/drawingml/2006/main">
          <a:off x="3048832" y="741905"/>
          <a:ext cx="50763" cy="118415"/>
        </a:xfrm>
        <a:prstGeom xmlns:a="http://schemas.openxmlformats.org/drawingml/2006/main" prst="rect">
          <a:avLst/>
        </a:prstGeom>
        <a:noFill/>
        <a:ln w="1">
          <a:noFill/>
          <a:miter lim="800000"/>
        </a:ln>
        <a:effectLst/>
      </cdr:spPr>
      <cdr:txBody xmlns:a="http://schemas.openxmlformats.org/drawingml/2006/main">
        <a:bodyPr vertOverflow="clip" wrap="square" lIns="18288" tIns="18288" rIns="18288" bIns="18288" anchor="ctr" upright="1"/>
        <a:lstStyle/>
        <a:p>
          <a:pPr algn="ctr" rtl="1">
            <a:defRPr sz="1000"/>
          </a:pPr>
          <a:r>
            <a:rPr lang="en-US" sz="600" b="0" i="0" strike="noStrike">
              <a:solidFill>
                <a:srgbClr val="000000"/>
              </a:solidFill>
              <a:latin typeface="宋体" panose="02010600030101010101" pitchFamily="7" charset="-122"/>
              <a:ea typeface="宋体" panose="02010600030101010101" pitchFamily="7" charset="-122"/>
            </a:rPr>
            <a:t> </a:t>
          </a:r>
          <a:endParaRPr lang="en-US" sz="600" b="0" i="0" strike="noStrike">
            <a:solidFill>
              <a:srgbClr val="000000"/>
            </a:solidFill>
            <a:latin typeface="宋体" panose="02010600030101010101" pitchFamily="7" charset="-122"/>
            <a:ea typeface="宋体" panose="02010600030101010101" pitchFamily="7" charset="-122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image" Target="../media/image23.emf"/><Relationship Id="rId8" Type="http://schemas.openxmlformats.org/officeDocument/2006/relationships/oleObject" Target="../embeddings/oleObject1.bin"/><Relationship Id="rId7" Type="http://schemas.openxmlformats.org/officeDocument/2006/relationships/ctrlProp" Target="../ctrlProps/ctrlProp4.xml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3" Type="http://schemas.openxmlformats.org/officeDocument/2006/relationships/vmlDrawing" Target="../drawings/vmlDrawing1.vml"/><Relationship Id="rId25" Type="http://schemas.openxmlformats.org/officeDocument/2006/relationships/image" Target="../media/image31.emf"/><Relationship Id="rId24" Type="http://schemas.openxmlformats.org/officeDocument/2006/relationships/oleObject" Target="../embeddings/oleObject9.bin"/><Relationship Id="rId23" Type="http://schemas.openxmlformats.org/officeDocument/2006/relationships/image" Target="../media/image30.emf"/><Relationship Id="rId22" Type="http://schemas.openxmlformats.org/officeDocument/2006/relationships/oleObject" Target="../embeddings/oleObject8.bin"/><Relationship Id="rId21" Type="http://schemas.openxmlformats.org/officeDocument/2006/relationships/image" Target="../media/image29.emf"/><Relationship Id="rId20" Type="http://schemas.openxmlformats.org/officeDocument/2006/relationships/oleObject" Target="../embeddings/oleObject7.bin"/><Relationship Id="rId2" Type="http://schemas.openxmlformats.org/officeDocument/2006/relationships/drawing" Target="../drawings/drawing1.xml"/><Relationship Id="rId19" Type="http://schemas.openxmlformats.org/officeDocument/2006/relationships/image" Target="../media/image28.emf"/><Relationship Id="rId18" Type="http://schemas.openxmlformats.org/officeDocument/2006/relationships/oleObject" Target="../embeddings/oleObject6.bin"/><Relationship Id="rId17" Type="http://schemas.openxmlformats.org/officeDocument/2006/relationships/image" Target="../media/image27.emf"/><Relationship Id="rId16" Type="http://schemas.openxmlformats.org/officeDocument/2006/relationships/oleObject" Target="../embeddings/oleObject5.bin"/><Relationship Id="rId15" Type="http://schemas.openxmlformats.org/officeDocument/2006/relationships/image" Target="../media/image26.emf"/><Relationship Id="rId14" Type="http://schemas.openxmlformats.org/officeDocument/2006/relationships/oleObject" Target="../embeddings/oleObject4.bin"/><Relationship Id="rId13" Type="http://schemas.openxmlformats.org/officeDocument/2006/relationships/image" Target="../media/image25.emf"/><Relationship Id="rId12" Type="http://schemas.openxmlformats.org/officeDocument/2006/relationships/oleObject" Target="../embeddings/oleObject3.bin"/><Relationship Id="rId11" Type="http://schemas.openxmlformats.org/officeDocument/2006/relationships/image" Target="../media/image24.emf"/><Relationship Id="rId10" Type="http://schemas.openxmlformats.org/officeDocument/2006/relationships/oleObject" Target="../embeddings/oleObject2.bin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S227"/>
  <sheetViews>
    <sheetView tabSelected="1" zoomScale="160" zoomScaleNormal="160" topLeftCell="A50" workbookViewId="0">
      <selection activeCell="E223" sqref="E223:H223"/>
    </sheetView>
  </sheetViews>
  <sheetFormatPr defaultColWidth="9" defaultRowHeight="11.25"/>
  <cols>
    <col min="1" max="1" width="2.625" style="3" customWidth="1"/>
    <col min="2" max="3" width="2.25" style="3" customWidth="1"/>
    <col min="4" max="4" width="4.5" style="3" customWidth="1"/>
    <col min="5" max="14" width="6.25" style="3" customWidth="1"/>
    <col min="15" max="15" width="6.375" style="3" customWidth="1"/>
    <col min="16" max="16" width="4.25" style="3" customWidth="1"/>
    <col min="17" max="17" width="8" style="3" customWidth="1"/>
    <col min="18" max="18" width="1.125" style="4" customWidth="1"/>
    <col min="19" max="19" width="3.5" style="4" customWidth="1"/>
    <col min="20" max="16384" width="9" style="3"/>
  </cols>
  <sheetData>
    <row r="1" s="1" customFormat="1" ht="18" customHeight="1" spans="1:19">
      <c r="A1" s="5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179"/>
      <c r="R1" s="180"/>
      <c r="S1" s="181"/>
    </row>
    <row r="2" s="1" customFormat="1" ht="13.5" customHeight="1" spans="1:19">
      <c r="A2" s="7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182"/>
      <c r="R2" s="180"/>
      <c r="S2" s="181"/>
    </row>
    <row r="3" s="1" customFormat="1" ht="3.75" customHeight="1" spans="1:19">
      <c r="A3" s="9"/>
      <c r="B3" s="10"/>
      <c r="C3" s="10"/>
      <c r="D3" s="10"/>
      <c r="E3" s="10"/>
      <c r="F3" s="10"/>
      <c r="G3" s="10"/>
      <c r="H3" s="10"/>
      <c r="I3" s="10"/>
      <c r="J3" s="119"/>
      <c r="K3" s="119"/>
      <c r="L3" s="119"/>
      <c r="M3" s="119"/>
      <c r="N3" s="119"/>
      <c r="O3" s="119"/>
      <c r="P3" s="120"/>
      <c r="Q3" s="183"/>
      <c r="R3" s="180"/>
      <c r="S3" s="181"/>
    </row>
    <row r="4" s="1" customFormat="1" ht="14.25" customHeight="1" spans="1:19">
      <c r="A4" s="11"/>
      <c r="B4" s="12"/>
      <c r="C4" s="13"/>
      <c r="D4" s="13"/>
      <c r="E4" s="13"/>
      <c r="F4" s="14"/>
      <c r="G4" s="14"/>
      <c r="H4" s="14"/>
      <c r="I4" s="13"/>
      <c r="J4" s="14"/>
      <c r="K4" s="14"/>
      <c r="L4" s="121" t="s">
        <v>1</v>
      </c>
      <c r="M4" s="121"/>
      <c r="N4" s="121"/>
      <c r="O4" s="121"/>
      <c r="P4" s="122"/>
      <c r="Q4" s="184"/>
      <c r="R4" s="180"/>
      <c r="S4" s="181"/>
    </row>
    <row r="5" s="1" customFormat="1" ht="2.25" customHeight="1" spans="1:19">
      <c r="A5" s="15"/>
      <c r="B5" s="16"/>
      <c r="C5" s="10"/>
      <c r="D5" s="10"/>
      <c r="E5" s="10"/>
      <c r="F5" s="17"/>
      <c r="G5" s="17"/>
      <c r="H5" s="17"/>
      <c r="I5" s="10"/>
      <c r="J5" s="17"/>
      <c r="K5" s="17"/>
      <c r="L5" s="17"/>
      <c r="M5" s="119"/>
      <c r="N5" s="123"/>
      <c r="O5" s="123"/>
      <c r="P5" s="124"/>
      <c r="Q5" s="124"/>
      <c r="R5" s="180"/>
      <c r="S5" s="181"/>
    </row>
    <row r="6" s="1" customFormat="1" ht="2.25" customHeight="1" spans="1:19">
      <c r="A6" s="18"/>
      <c r="B6" s="19"/>
      <c r="C6" s="20"/>
      <c r="D6" s="20"/>
      <c r="E6" s="20"/>
      <c r="F6" s="21"/>
      <c r="G6" s="21"/>
      <c r="H6" s="21"/>
      <c r="I6" s="20"/>
      <c r="J6" s="21"/>
      <c r="K6" s="21"/>
      <c r="L6" s="21"/>
      <c r="M6" s="125"/>
      <c r="N6" s="126"/>
      <c r="O6" s="126"/>
      <c r="P6" s="127"/>
      <c r="Q6" s="185"/>
      <c r="R6" s="180"/>
      <c r="S6" s="181"/>
    </row>
    <row r="7" s="2" customFormat="1" ht="24.75" customHeight="1" spans="1:19">
      <c r="A7" s="22" t="s">
        <v>2</v>
      </c>
      <c r="B7" s="23"/>
      <c r="C7" s="23"/>
      <c r="D7" s="24"/>
      <c r="E7" s="25"/>
      <c r="F7" s="26"/>
      <c r="G7" s="27" t="s">
        <v>3</v>
      </c>
      <c r="H7" s="28"/>
      <c r="I7" s="32"/>
      <c r="J7" s="26"/>
      <c r="K7" s="27" t="s">
        <v>4</v>
      </c>
      <c r="L7" s="28"/>
      <c r="M7" s="25"/>
      <c r="N7" s="26"/>
      <c r="O7" s="27" t="s">
        <v>5</v>
      </c>
      <c r="P7" s="128"/>
      <c r="Q7" s="186"/>
      <c r="R7" s="101"/>
      <c r="S7" s="4"/>
    </row>
    <row r="8" s="2" customFormat="1" ht="3" customHeight="1" spans="1:19">
      <c r="A8" s="29"/>
      <c r="B8" s="23"/>
      <c r="C8" s="30"/>
      <c r="D8" s="30"/>
      <c r="E8" s="31"/>
      <c r="F8" s="31"/>
      <c r="G8" s="23"/>
      <c r="H8" s="23"/>
      <c r="I8" s="31"/>
      <c r="J8" s="31"/>
      <c r="K8" s="30"/>
      <c r="L8" s="23"/>
      <c r="M8" s="31"/>
      <c r="N8" s="31"/>
      <c r="O8" s="129"/>
      <c r="P8" s="23"/>
      <c r="Q8" s="187"/>
      <c r="R8" s="101"/>
      <c r="S8" s="4"/>
    </row>
    <row r="9" s="2" customFormat="1" ht="24.75" customHeight="1" spans="1:19">
      <c r="A9" s="22" t="s">
        <v>6</v>
      </c>
      <c r="B9" s="23"/>
      <c r="C9" s="23"/>
      <c r="D9" s="24"/>
      <c r="E9" s="32"/>
      <c r="F9" s="26"/>
      <c r="G9" s="27" t="s">
        <v>7</v>
      </c>
      <c r="H9" s="24"/>
      <c r="I9" s="32"/>
      <c r="J9" s="26"/>
      <c r="K9" s="27" t="s">
        <v>8</v>
      </c>
      <c r="L9" s="28"/>
      <c r="M9" s="25"/>
      <c r="N9" s="26"/>
      <c r="O9" s="130" t="s">
        <v>9</v>
      </c>
      <c r="P9" s="131"/>
      <c r="Q9" s="188">
        <v>3</v>
      </c>
      <c r="R9" s="101"/>
      <c r="S9" s="4"/>
    </row>
    <row r="10" s="2" customFormat="1" ht="3" customHeight="1" spans="1:19">
      <c r="A10" s="33"/>
      <c r="B10" s="23"/>
      <c r="C10" s="23"/>
      <c r="D10" s="23"/>
      <c r="E10" s="34"/>
      <c r="F10" s="34"/>
      <c r="G10" s="23"/>
      <c r="H10" s="23"/>
      <c r="I10" s="34"/>
      <c r="J10" s="34"/>
      <c r="K10" s="23"/>
      <c r="L10" s="23"/>
      <c r="M10" s="31"/>
      <c r="N10" s="31"/>
      <c r="O10" s="132"/>
      <c r="P10" s="133"/>
      <c r="Q10" s="189"/>
      <c r="R10" s="101"/>
      <c r="S10" s="4"/>
    </row>
    <row r="11" s="2" customFormat="1" ht="24.75" customHeight="1" spans="1:19">
      <c r="A11" s="22" t="s">
        <v>10</v>
      </c>
      <c r="B11" s="23"/>
      <c r="C11" s="23"/>
      <c r="D11" s="24"/>
      <c r="E11" s="32"/>
      <c r="F11" s="26"/>
      <c r="G11" s="27" t="s">
        <v>11</v>
      </c>
      <c r="H11" s="24"/>
      <c r="I11" s="134"/>
      <c r="J11" s="135"/>
      <c r="K11" s="136" t="s">
        <v>12</v>
      </c>
      <c r="L11" s="28"/>
      <c r="M11" s="25"/>
      <c r="N11" s="26"/>
      <c r="O11" s="137" t="s">
        <v>13</v>
      </c>
      <c r="P11" s="138"/>
      <c r="Q11" s="188">
        <v>3</v>
      </c>
      <c r="R11" s="101"/>
      <c r="S11" s="4"/>
    </row>
    <row r="12" s="2" customFormat="1" ht="3" customHeight="1" spans="1:19">
      <c r="A12" s="33"/>
      <c r="B12" s="23"/>
      <c r="C12" s="23"/>
      <c r="D12" s="23"/>
      <c r="E12" s="34"/>
      <c r="F12" s="31"/>
      <c r="G12" s="23"/>
      <c r="H12" s="23"/>
      <c r="I12" s="34"/>
      <c r="J12" s="34"/>
      <c r="K12" s="23"/>
      <c r="L12" s="23"/>
      <c r="M12" s="31"/>
      <c r="N12" s="31"/>
      <c r="O12" s="132"/>
      <c r="P12" s="139"/>
      <c r="Q12" s="189"/>
      <c r="R12" s="101"/>
      <c r="S12" s="4"/>
    </row>
    <row r="13" s="2" customFormat="1" ht="24.75" customHeight="1" spans="1:19">
      <c r="A13" s="22" t="s">
        <v>14</v>
      </c>
      <c r="B13" s="23"/>
      <c r="C13" s="23"/>
      <c r="D13" s="24"/>
      <c r="E13" s="32" t="s">
        <v>15</v>
      </c>
      <c r="F13" s="26"/>
      <c r="G13" s="27" t="s">
        <v>16</v>
      </c>
      <c r="H13" s="24"/>
      <c r="I13" s="134"/>
      <c r="J13" s="140" t="s">
        <v>17</v>
      </c>
      <c r="K13" s="141"/>
      <c r="L13" s="142"/>
      <c r="M13" s="32"/>
      <c r="N13" s="26"/>
      <c r="O13" s="137" t="s">
        <v>18</v>
      </c>
      <c r="P13" s="138"/>
      <c r="Q13" s="190">
        <v>10</v>
      </c>
      <c r="R13" s="101"/>
      <c r="S13" s="4"/>
    </row>
    <row r="14" s="2" customFormat="1" ht="3" customHeight="1" spans="1:19">
      <c r="A14" s="35"/>
      <c r="B14" s="36"/>
      <c r="C14" s="37"/>
      <c r="D14" s="37"/>
      <c r="E14" s="38"/>
      <c r="F14" s="38"/>
      <c r="G14" s="37"/>
      <c r="H14" s="37"/>
      <c r="I14" s="37"/>
      <c r="J14" s="38"/>
      <c r="K14" s="37"/>
      <c r="L14" s="36"/>
      <c r="M14" s="13"/>
      <c r="N14" s="13"/>
      <c r="O14" s="13"/>
      <c r="P14" s="143"/>
      <c r="Q14" s="191"/>
      <c r="R14" s="101"/>
      <c r="S14" s="4"/>
    </row>
    <row r="15" s="2" customFormat="1" ht="2.25" customHeight="1" spans="1:19">
      <c r="A15" s="39"/>
      <c r="B15" s="40"/>
      <c r="C15" s="41"/>
      <c r="D15" s="41"/>
      <c r="E15" s="42"/>
      <c r="F15" s="42"/>
      <c r="G15" s="40"/>
      <c r="H15" s="40"/>
      <c r="I15" s="144"/>
      <c r="J15" s="144"/>
      <c r="K15" s="144"/>
      <c r="L15" s="41"/>
      <c r="M15" s="41"/>
      <c r="N15" s="144"/>
      <c r="O15" s="144"/>
      <c r="P15" s="40"/>
      <c r="Q15" s="192"/>
      <c r="R15" s="101"/>
      <c r="S15" s="4"/>
    </row>
    <row r="16" s="2" customFormat="1" ht="15.75" customHeight="1" spans="1:19">
      <c r="A16" s="43" t="s">
        <v>19</v>
      </c>
      <c r="B16" s="44"/>
      <c r="C16" s="44"/>
      <c r="D16" s="44"/>
      <c r="E16" s="44"/>
      <c r="F16" s="44"/>
      <c r="G16" s="30"/>
      <c r="H16" s="30"/>
      <c r="I16" s="30"/>
      <c r="J16" s="30"/>
      <c r="K16" s="30"/>
      <c r="L16" s="30"/>
      <c r="M16" s="30"/>
      <c r="N16" s="135"/>
      <c r="O16" s="145"/>
      <c r="P16" s="145"/>
      <c r="Q16" s="193"/>
      <c r="R16" s="101"/>
      <c r="S16" s="4"/>
    </row>
    <row r="17" s="2" customFormat="1" ht="3" customHeight="1" spans="1:19">
      <c r="A17" s="9"/>
      <c r="B17" s="10"/>
      <c r="C17" s="10"/>
      <c r="D17" s="10"/>
      <c r="E17" s="10"/>
      <c r="F17" s="1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187"/>
      <c r="R17" s="101"/>
      <c r="S17" s="4"/>
    </row>
    <row r="18" s="2" customFormat="1" ht="12.75" customHeight="1" spans="1:19">
      <c r="A18" s="45" t="s">
        <v>20</v>
      </c>
      <c r="B18" s="46"/>
      <c r="C18" s="46"/>
      <c r="D18" s="47"/>
      <c r="E18" s="48">
        <v>1</v>
      </c>
      <c r="F18" s="48">
        <v>2</v>
      </c>
      <c r="G18" s="48">
        <v>3</v>
      </c>
      <c r="H18" s="48">
        <v>4</v>
      </c>
      <c r="I18" s="48">
        <v>5</v>
      </c>
      <c r="J18" s="48">
        <v>6</v>
      </c>
      <c r="K18" s="48">
        <v>7</v>
      </c>
      <c r="L18" s="48">
        <v>8</v>
      </c>
      <c r="M18" s="48">
        <v>9</v>
      </c>
      <c r="N18" s="48">
        <v>10</v>
      </c>
      <c r="O18" s="146" t="s">
        <v>21</v>
      </c>
      <c r="P18" s="147" t="s">
        <v>22</v>
      </c>
      <c r="Q18" s="194"/>
      <c r="R18" s="101"/>
      <c r="S18" s="4"/>
    </row>
    <row r="19" s="2" customFormat="1" ht="18" customHeight="1" spans="1:19">
      <c r="A19" s="460" t="s">
        <v>23</v>
      </c>
      <c r="B19" s="50" t="s">
        <v>24</v>
      </c>
      <c r="C19" s="50"/>
      <c r="D19" s="51">
        <v>1</v>
      </c>
      <c r="E19" s="52">
        <v>0.29</v>
      </c>
      <c r="F19" s="53">
        <v>-0.56</v>
      </c>
      <c r="G19" s="53">
        <v>1.34</v>
      </c>
      <c r="H19" s="53">
        <v>0.47</v>
      </c>
      <c r="I19" s="53">
        <v>-0.8</v>
      </c>
      <c r="J19" s="53">
        <v>0.02</v>
      </c>
      <c r="K19" s="53">
        <v>0.59</v>
      </c>
      <c r="L19" s="53">
        <v>-0.31</v>
      </c>
      <c r="M19" s="53">
        <v>2.26</v>
      </c>
      <c r="N19" s="148">
        <v>-1.36</v>
      </c>
      <c r="O19" s="149">
        <f>SUM(E19:N19)</f>
        <v>1.94</v>
      </c>
      <c r="P19" s="150">
        <f>AVERAGE(E19:N19)</f>
        <v>0.194</v>
      </c>
      <c r="Q19" s="195"/>
      <c r="R19" s="101"/>
      <c r="S19" s="4"/>
    </row>
    <row r="20" s="2" customFormat="1" ht="18" customHeight="1" spans="1:19">
      <c r="A20" s="54" t="s">
        <v>25</v>
      </c>
      <c r="B20" s="55"/>
      <c r="C20" s="55"/>
      <c r="D20" s="56">
        <v>2</v>
      </c>
      <c r="E20" s="57">
        <v>0.41</v>
      </c>
      <c r="F20" s="58">
        <v>-0.68</v>
      </c>
      <c r="G20" s="58">
        <v>1.17</v>
      </c>
      <c r="H20" s="58">
        <v>0.5</v>
      </c>
      <c r="I20" s="58">
        <v>-0.92</v>
      </c>
      <c r="J20" s="58">
        <v>-0.11</v>
      </c>
      <c r="K20" s="58">
        <v>0.75</v>
      </c>
      <c r="L20" s="58">
        <v>-0.2</v>
      </c>
      <c r="M20" s="58">
        <v>1.99</v>
      </c>
      <c r="N20" s="151">
        <v>-1.25</v>
      </c>
      <c r="O20" s="149">
        <f>SUM(E20:N20)</f>
        <v>1.66</v>
      </c>
      <c r="P20" s="150">
        <f>AVERAGE(E20:N20)</f>
        <v>0.166</v>
      </c>
      <c r="Q20" s="195"/>
      <c r="R20" s="101"/>
      <c r="S20" s="4"/>
    </row>
    <row r="21" s="2" customFormat="1" ht="18" customHeight="1" spans="1:19">
      <c r="A21" s="49" t="s">
        <v>26</v>
      </c>
      <c r="B21" s="50"/>
      <c r="C21" s="50"/>
      <c r="D21" s="56">
        <v>3</v>
      </c>
      <c r="E21" s="57">
        <v>0.64</v>
      </c>
      <c r="F21" s="58">
        <v>-0.58</v>
      </c>
      <c r="G21" s="58">
        <v>1.27</v>
      </c>
      <c r="H21" s="58">
        <v>0.64</v>
      </c>
      <c r="I21" s="58">
        <v>-0.84</v>
      </c>
      <c r="J21" s="58">
        <v>-0.21</v>
      </c>
      <c r="K21" s="58">
        <v>0.66</v>
      </c>
      <c r="L21" s="58">
        <v>-0.17</v>
      </c>
      <c r="M21" s="58">
        <v>2.01</v>
      </c>
      <c r="N21" s="151">
        <v>-1.31</v>
      </c>
      <c r="O21" s="149">
        <f>SUM(E21:N21)</f>
        <v>2.11</v>
      </c>
      <c r="P21" s="152">
        <f>IF($D$18=2,"",AVERAGE(E21:N21))</f>
        <v>0.211</v>
      </c>
      <c r="Q21" s="196"/>
      <c r="R21" s="101"/>
      <c r="S21" s="4"/>
    </row>
    <row r="22" s="2" customFormat="1" ht="13.5" customHeight="1" spans="1:19">
      <c r="A22" s="54" t="s">
        <v>27</v>
      </c>
      <c r="B22" s="55"/>
      <c r="C22" s="55"/>
      <c r="D22" s="59" t="s">
        <v>28</v>
      </c>
      <c r="E22" s="60">
        <f t="shared" ref="E22:N22" si="0">AVERAGE(E19:E21)</f>
        <v>0.446666666666667</v>
      </c>
      <c r="F22" s="61">
        <f t="shared" si="0"/>
        <v>-0.606666666666667</v>
      </c>
      <c r="G22" s="61">
        <f t="shared" si="0"/>
        <v>1.26</v>
      </c>
      <c r="H22" s="61">
        <f t="shared" si="0"/>
        <v>0.536666666666667</v>
      </c>
      <c r="I22" s="61">
        <f t="shared" si="0"/>
        <v>-0.853333333333333</v>
      </c>
      <c r="J22" s="61">
        <f t="shared" si="0"/>
        <v>-0.1</v>
      </c>
      <c r="K22" s="61">
        <f t="shared" si="0"/>
        <v>0.666666666666667</v>
      </c>
      <c r="L22" s="61">
        <f t="shared" si="0"/>
        <v>-0.226666666666667</v>
      </c>
      <c r="M22" s="61">
        <f t="shared" si="0"/>
        <v>2.08666666666667</v>
      </c>
      <c r="N22" s="153">
        <f t="shared" si="0"/>
        <v>-1.30666666666667</v>
      </c>
      <c r="O22" s="154"/>
      <c r="P22" s="155"/>
      <c r="Q22" s="197">
        <f>AVERAGE(E22:N22)</f>
        <v>0.190333333333333</v>
      </c>
      <c r="R22" s="101"/>
      <c r="S22" s="4"/>
    </row>
    <row r="23" s="2" customFormat="1" ht="13.5" customHeight="1" spans="1:19">
      <c r="A23" s="62"/>
      <c r="B23" s="63"/>
      <c r="C23" s="63"/>
      <c r="D23" s="64" t="s">
        <v>29</v>
      </c>
      <c r="E23" s="65">
        <f t="shared" ref="E23:N23" si="1">SUM(E19:E21)</f>
        <v>1.34</v>
      </c>
      <c r="F23" s="65">
        <f t="shared" si="1"/>
        <v>-1.82</v>
      </c>
      <c r="G23" s="65">
        <f t="shared" si="1"/>
        <v>3.78</v>
      </c>
      <c r="H23" s="65">
        <f t="shared" si="1"/>
        <v>1.61</v>
      </c>
      <c r="I23" s="65">
        <f t="shared" si="1"/>
        <v>-2.56</v>
      </c>
      <c r="J23" s="65">
        <f t="shared" si="1"/>
        <v>-0.3</v>
      </c>
      <c r="K23" s="65">
        <f t="shared" si="1"/>
        <v>2</v>
      </c>
      <c r="L23" s="65">
        <f t="shared" si="1"/>
        <v>-0.68</v>
      </c>
      <c r="M23" s="65">
        <f t="shared" si="1"/>
        <v>6.26</v>
      </c>
      <c r="N23" s="65">
        <f t="shared" si="1"/>
        <v>-3.92</v>
      </c>
      <c r="O23" s="156">
        <f>SUM(E23:N23)</f>
        <v>5.71</v>
      </c>
      <c r="P23" s="155"/>
      <c r="Q23" s="197"/>
      <c r="R23" s="101"/>
      <c r="S23" s="4"/>
    </row>
    <row r="24" s="2" customFormat="1" ht="13.5" customHeight="1" spans="1:19">
      <c r="A24" s="66" t="s">
        <v>30</v>
      </c>
      <c r="B24" s="67"/>
      <c r="C24" s="67"/>
      <c r="D24" s="68" t="s">
        <v>31</v>
      </c>
      <c r="E24" s="69">
        <f t="shared" ref="E24:N24" si="2">MAX(E19:E21)-MIN(E19:E21)</f>
        <v>0.35</v>
      </c>
      <c r="F24" s="70">
        <f t="shared" si="2"/>
        <v>0.12</v>
      </c>
      <c r="G24" s="70">
        <f t="shared" si="2"/>
        <v>0.17</v>
      </c>
      <c r="H24" s="70">
        <f t="shared" si="2"/>
        <v>0.17</v>
      </c>
      <c r="I24" s="70">
        <f t="shared" si="2"/>
        <v>0.12</v>
      </c>
      <c r="J24" s="70">
        <f t="shared" si="2"/>
        <v>0.23</v>
      </c>
      <c r="K24" s="70">
        <f t="shared" si="2"/>
        <v>0.16</v>
      </c>
      <c r="L24" s="70">
        <f t="shared" si="2"/>
        <v>0.14</v>
      </c>
      <c r="M24" s="70">
        <f t="shared" si="2"/>
        <v>0.27</v>
      </c>
      <c r="N24" s="157">
        <f t="shared" si="2"/>
        <v>0.11</v>
      </c>
      <c r="O24" s="154"/>
      <c r="P24" s="158"/>
      <c r="Q24" s="198">
        <f>AVERAGE(E24:N24)</f>
        <v>0.184</v>
      </c>
      <c r="R24" s="101"/>
      <c r="S24" s="4"/>
    </row>
    <row r="25" s="2" customFormat="1" ht="18" customHeight="1" spans="1:19">
      <c r="A25" s="49" t="s">
        <v>32</v>
      </c>
      <c r="B25" s="50" t="s">
        <v>33</v>
      </c>
      <c r="C25" s="50"/>
      <c r="D25" s="51">
        <v>1</v>
      </c>
      <c r="E25" s="52">
        <v>0.08</v>
      </c>
      <c r="F25" s="53">
        <v>-0.47</v>
      </c>
      <c r="G25" s="53">
        <v>1.19</v>
      </c>
      <c r="H25" s="53">
        <v>0.01</v>
      </c>
      <c r="I25" s="53">
        <v>-0.56</v>
      </c>
      <c r="J25" s="53">
        <v>-0.2</v>
      </c>
      <c r="K25" s="53">
        <v>0.47</v>
      </c>
      <c r="L25" s="53">
        <v>-0.63</v>
      </c>
      <c r="M25" s="53">
        <v>1.8</v>
      </c>
      <c r="N25" s="148">
        <v>-1.68</v>
      </c>
      <c r="O25" s="149">
        <f>SUM(E25:N25)</f>
        <v>0.01</v>
      </c>
      <c r="P25" s="159">
        <f>AVERAGE(E25:N25)</f>
        <v>0.001</v>
      </c>
      <c r="Q25" s="199"/>
      <c r="R25" s="101"/>
      <c r="S25" s="4"/>
    </row>
    <row r="26" s="2" customFormat="1" ht="18" customHeight="1" spans="1:19">
      <c r="A26" s="49" t="s">
        <v>34</v>
      </c>
      <c r="B26" s="55"/>
      <c r="C26" s="55"/>
      <c r="D26" s="56">
        <v>2</v>
      </c>
      <c r="E26" s="57">
        <v>0.25</v>
      </c>
      <c r="F26" s="58">
        <v>-1.22</v>
      </c>
      <c r="G26" s="58">
        <v>0.94</v>
      </c>
      <c r="H26" s="58">
        <v>1.03</v>
      </c>
      <c r="I26" s="58">
        <v>-1.2</v>
      </c>
      <c r="J26" s="58">
        <v>0.22</v>
      </c>
      <c r="K26" s="58">
        <v>0.55</v>
      </c>
      <c r="L26" s="58">
        <v>0.08</v>
      </c>
      <c r="M26" s="58">
        <v>2.12</v>
      </c>
      <c r="N26" s="151">
        <v>-1.62</v>
      </c>
      <c r="O26" s="149">
        <v>11.304</v>
      </c>
      <c r="P26" s="150">
        <f>AVERAGE(E26:N26)</f>
        <v>0.115</v>
      </c>
      <c r="Q26" s="195"/>
      <c r="R26" s="101"/>
      <c r="S26" s="4"/>
    </row>
    <row r="27" s="2" customFormat="1" ht="18" customHeight="1" spans="1:19">
      <c r="A27" s="54" t="s">
        <v>35</v>
      </c>
      <c r="B27" s="50"/>
      <c r="C27" s="50"/>
      <c r="D27" s="56">
        <v>3</v>
      </c>
      <c r="E27" s="57">
        <v>0.07</v>
      </c>
      <c r="F27" s="58">
        <v>-0.68</v>
      </c>
      <c r="G27" s="58">
        <v>1.34</v>
      </c>
      <c r="H27" s="58">
        <v>0.2</v>
      </c>
      <c r="I27" s="58">
        <v>-1.28</v>
      </c>
      <c r="J27" s="58">
        <v>0.06</v>
      </c>
      <c r="K27" s="58">
        <v>0.83</v>
      </c>
      <c r="L27" s="58">
        <v>-0.34</v>
      </c>
      <c r="M27" s="58">
        <v>2.19</v>
      </c>
      <c r="N27" s="151">
        <v>-1.5</v>
      </c>
      <c r="O27" s="149">
        <f>SUM(E27:N27)</f>
        <v>0.89</v>
      </c>
      <c r="P27" s="150">
        <f>IF($D$18=2,"",AVERAGE(E27:N27))</f>
        <v>0.089</v>
      </c>
      <c r="Q27" s="195"/>
      <c r="R27" s="101"/>
      <c r="S27" s="4"/>
    </row>
    <row r="28" s="2" customFormat="1" ht="13.5" customHeight="1" spans="1:19">
      <c r="A28" s="49" t="s">
        <v>36</v>
      </c>
      <c r="B28" s="55"/>
      <c r="C28" s="55"/>
      <c r="D28" s="59" t="s">
        <v>28</v>
      </c>
      <c r="E28" s="71">
        <f t="shared" ref="E28:N28" si="3">AVERAGE(E25:E27)</f>
        <v>0.133333333333333</v>
      </c>
      <c r="F28" s="72">
        <f t="shared" si="3"/>
        <v>-0.79</v>
      </c>
      <c r="G28" s="72">
        <f t="shared" si="3"/>
        <v>1.15666666666667</v>
      </c>
      <c r="H28" s="72">
        <f t="shared" si="3"/>
        <v>0.413333333333333</v>
      </c>
      <c r="I28" s="72">
        <f t="shared" si="3"/>
        <v>-1.01333333333333</v>
      </c>
      <c r="J28" s="72">
        <f t="shared" si="3"/>
        <v>0.0266666666666667</v>
      </c>
      <c r="K28" s="72">
        <f t="shared" si="3"/>
        <v>0.616666666666667</v>
      </c>
      <c r="L28" s="72">
        <f t="shared" si="3"/>
        <v>-0.296666666666667</v>
      </c>
      <c r="M28" s="72">
        <f t="shared" si="3"/>
        <v>2.03666666666667</v>
      </c>
      <c r="N28" s="160">
        <f t="shared" si="3"/>
        <v>-1.6</v>
      </c>
      <c r="O28" s="149"/>
      <c r="P28" s="155"/>
      <c r="Q28" s="197">
        <f>AVERAGE(E28:N28)</f>
        <v>0.0683333333333333</v>
      </c>
      <c r="R28" s="101"/>
      <c r="S28" s="4"/>
    </row>
    <row r="29" s="2" customFormat="1" ht="13.5" customHeight="1" spans="1:19">
      <c r="A29" s="9"/>
      <c r="B29" s="63"/>
      <c r="C29" s="63"/>
      <c r="D29" s="64" t="s">
        <v>37</v>
      </c>
      <c r="E29" s="73">
        <f t="shared" ref="E29:N29" si="4">SUM(E25:E27)</f>
        <v>0.4</v>
      </c>
      <c r="F29" s="73">
        <f t="shared" si="4"/>
        <v>-2.37</v>
      </c>
      <c r="G29" s="73">
        <f t="shared" si="4"/>
        <v>3.47</v>
      </c>
      <c r="H29" s="73">
        <f t="shared" si="4"/>
        <v>1.24</v>
      </c>
      <c r="I29" s="73">
        <f t="shared" si="4"/>
        <v>-3.04</v>
      </c>
      <c r="J29" s="73">
        <f t="shared" si="4"/>
        <v>0.08</v>
      </c>
      <c r="K29" s="73">
        <f t="shared" si="4"/>
        <v>1.85</v>
      </c>
      <c r="L29" s="73">
        <f t="shared" si="4"/>
        <v>-0.89</v>
      </c>
      <c r="M29" s="73">
        <f t="shared" si="4"/>
        <v>6.11</v>
      </c>
      <c r="N29" s="73">
        <f t="shared" si="4"/>
        <v>-4.8</v>
      </c>
      <c r="O29" s="156">
        <f>SUM(E29:N29)</f>
        <v>2.05</v>
      </c>
      <c r="P29" s="155"/>
      <c r="Q29" s="197"/>
      <c r="R29" s="101"/>
      <c r="S29" s="4"/>
    </row>
    <row r="30" s="2" customFormat="1" ht="13.5" customHeight="1" spans="1:19">
      <c r="A30" s="66" t="s">
        <v>38</v>
      </c>
      <c r="B30" s="67"/>
      <c r="C30" s="67"/>
      <c r="D30" s="68" t="s">
        <v>31</v>
      </c>
      <c r="E30" s="74">
        <f t="shared" ref="E30:N30" si="5">MAX(E25:E27)-MIN(E25:E27)</f>
        <v>0.18</v>
      </c>
      <c r="F30" s="75">
        <f t="shared" si="5"/>
        <v>0.75</v>
      </c>
      <c r="G30" s="75">
        <f t="shared" si="5"/>
        <v>0.4</v>
      </c>
      <c r="H30" s="75">
        <f t="shared" si="5"/>
        <v>1.02</v>
      </c>
      <c r="I30" s="75">
        <f t="shared" si="5"/>
        <v>0.72</v>
      </c>
      <c r="J30" s="75">
        <f t="shared" si="5"/>
        <v>0.42</v>
      </c>
      <c r="K30" s="75">
        <f t="shared" si="5"/>
        <v>0.36</v>
      </c>
      <c r="L30" s="75">
        <f t="shared" si="5"/>
        <v>0.71</v>
      </c>
      <c r="M30" s="75">
        <f t="shared" si="5"/>
        <v>0.39</v>
      </c>
      <c r="N30" s="161">
        <f t="shared" si="5"/>
        <v>0.18</v>
      </c>
      <c r="O30" s="149"/>
      <c r="P30" s="158"/>
      <c r="Q30" s="198">
        <f>AVERAGE(E30:N30)</f>
        <v>0.513</v>
      </c>
      <c r="R30" s="101"/>
      <c r="S30" s="4"/>
    </row>
    <row r="31" s="2" customFormat="1" ht="18" customHeight="1" spans="1:19">
      <c r="A31" s="49" t="s">
        <v>39</v>
      </c>
      <c r="B31" s="50" t="s">
        <v>40</v>
      </c>
      <c r="C31" s="50"/>
      <c r="D31" s="51">
        <v>1</v>
      </c>
      <c r="E31" s="52">
        <v>0.04</v>
      </c>
      <c r="F31" s="53">
        <v>-1.38</v>
      </c>
      <c r="G31" s="53">
        <v>0.88</v>
      </c>
      <c r="H31" s="53">
        <v>0.14</v>
      </c>
      <c r="I31" s="53">
        <v>-1.46</v>
      </c>
      <c r="J31" s="53">
        <v>-0.29</v>
      </c>
      <c r="K31" s="53">
        <v>0.02</v>
      </c>
      <c r="L31" s="53">
        <v>-0.46</v>
      </c>
      <c r="M31" s="53">
        <v>1.77</v>
      </c>
      <c r="N31" s="148">
        <v>-1.49</v>
      </c>
      <c r="O31" s="149">
        <f>SUM(E31:N31)</f>
        <v>-2.23</v>
      </c>
      <c r="P31" s="150">
        <f>AVERAGE(E31:N31)</f>
        <v>-0.223</v>
      </c>
      <c r="Q31" s="195"/>
      <c r="R31" s="101"/>
      <c r="S31" s="4"/>
    </row>
    <row r="32" s="2" customFormat="1" ht="18" customHeight="1" spans="1:19">
      <c r="A32" s="54" t="s">
        <v>41</v>
      </c>
      <c r="B32" s="55"/>
      <c r="C32" s="55"/>
      <c r="D32" s="56">
        <v>2</v>
      </c>
      <c r="E32" s="57">
        <v>-0.11</v>
      </c>
      <c r="F32" s="58">
        <v>-1.13</v>
      </c>
      <c r="G32" s="58">
        <v>1.09</v>
      </c>
      <c r="H32" s="58">
        <v>0.2</v>
      </c>
      <c r="I32" s="58">
        <v>-1.07</v>
      </c>
      <c r="J32" s="58">
        <v>-0.67</v>
      </c>
      <c r="K32" s="58">
        <v>0.01</v>
      </c>
      <c r="L32" s="58">
        <v>-0.56</v>
      </c>
      <c r="M32" s="58">
        <v>1.45</v>
      </c>
      <c r="N32" s="151">
        <v>-1.77</v>
      </c>
      <c r="O32" s="149">
        <f>SUM(E32:N32)</f>
        <v>-2.56</v>
      </c>
      <c r="P32" s="150">
        <f>AVERAGE(E32:N32)</f>
        <v>-0.256</v>
      </c>
      <c r="Q32" s="195"/>
      <c r="R32" s="101"/>
      <c r="S32" s="4"/>
    </row>
    <row r="33" s="2" customFormat="1" ht="18" customHeight="1" spans="1:19">
      <c r="A33" s="49" t="s">
        <v>42</v>
      </c>
      <c r="B33" s="50"/>
      <c r="C33" s="50"/>
      <c r="D33" s="56">
        <v>3</v>
      </c>
      <c r="E33" s="57">
        <v>-0.15</v>
      </c>
      <c r="F33" s="58">
        <v>-0.96</v>
      </c>
      <c r="G33" s="58">
        <v>0.67</v>
      </c>
      <c r="H33" s="58">
        <v>0.11</v>
      </c>
      <c r="I33" s="58">
        <v>-1.45</v>
      </c>
      <c r="J33" s="58">
        <v>-0.49</v>
      </c>
      <c r="K33" s="58">
        <v>0.21</v>
      </c>
      <c r="L33" s="58">
        <v>-0.49</v>
      </c>
      <c r="M33" s="58">
        <v>1.87</v>
      </c>
      <c r="N33" s="151">
        <v>-2.16</v>
      </c>
      <c r="O33" s="149">
        <f>SUM(E33:N33)</f>
        <v>-2.84</v>
      </c>
      <c r="P33" s="150">
        <f>IF($D$18=2,"",AVERAGE(E33:N33))</f>
        <v>-0.284</v>
      </c>
      <c r="Q33" s="195"/>
      <c r="R33" s="101"/>
      <c r="S33" s="4"/>
    </row>
    <row r="34" s="2" customFormat="1" ht="13.5" customHeight="1" spans="1:19">
      <c r="A34" s="54" t="s">
        <v>43</v>
      </c>
      <c r="B34" s="55"/>
      <c r="C34" s="55"/>
      <c r="D34" s="59" t="s">
        <v>28</v>
      </c>
      <c r="E34" s="71">
        <f>IF(E31="",NA(),AVERAGE(E31:E33))</f>
        <v>-0.0733333333333333</v>
      </c>
      <c r="F34" s="71">
        <f t="shared" ref="F34:N34" si="6">IF(F31="",NA(),AVERAGE(F31:F33))</f>
        <v>-1.15666666666667</v>
      </c>
      <c r="G34" s="71">
        <f t="shared" si="6"/>
        <v>0.88</v>
      </c>
      <c r="H34" s="71">
        <f t="shared" si="6"/>
        <v>0.15</v>
      </c>
      <c r="I34" s="71">
        <f t="shared" si="6"/>
        <v>-1.32666666666667</v>
      </c>
      <c r="J34" s="71">
        <f t="shared" si="6"/>
        <v>-0.483333333333333</v>
      </c>
      <c r="K34" s="71">
        <f t="shared" si="6"/>
        <v>0.08</v>
      </c>
      <c r="L34" s="71">
        <f t="shared" si="6"/>
        <v>-0.503333333333333</v>
      </c>
      <c r="M34" s="71">
        <f t="shared" si="6"/>
        <v>1.69666666666667</v>
      </c>
      <c r="N34" s="71">
        <f t="shared" si="6"/>
        <v>-1.80666666666667</v>
      </c>
      <c r="O34" s="149"/>
      <c r="P34" s="155"/>
      <c r="Q34" s="197">
        <f>IF(E31="",NA(),AVERAGE(E34:N34))</f>
        <v>-0.254333333333333</v>
      </c>
      <c r="R34" s="101"/>
      <c r="S34" s="4"/>
    </row>
    <row r="35" s="2" customFormat="1" ht="13.5" customHeight="1" spans="1:19">
      <c r="A35" s="62"/>
      <c r="B35" s="63"/>
      <c r="C35" s="63"/>
      <c r="D35" s="64" t="s">
        <v>44</v>
      </c>
      <c r="E35" s="73">
        <f t="shared" ref="E35:N35" si="7">SUM(E31:E33)</f>
        <v>-0.22</v>
      </c>
      <c r="F35" s="73">
        <f t="shared" si="7"/>
        <v>-3.47</v>
      </c>
      <c r="G35" s="73">
        <f t="shared" si="7"/>
        <v>2.64</v>
      </c>
      <c r="H35" s="73">
        <f t="shared" si="7"/>
        <v>0.45</v>
      </c>
      <c r="I35" s="73">
        <f t="shared" si="7"/>
        <v>-3.98</v>
      </c>
      <c r="J35" s="73">
        <f t="shared" si="7"/>
        <v>-1.45</v>
      </c>
      <c r="K35" s="73">
        <f t="shared" si="7"/>
        <v>0.24</v>
      </c>
      <c r="L35" s="73">
        <f t="shared" si="7"/>
        <v>-1.51</v>
      </c>
      <c r="M35" s="73">
        <f t="shared" si="7"/>
        <v>5.09</v>
      </c>
      <c r="N35" s="73">
        <f t="shared" si="7"/>
        <v>-5.42</v>
      </c>
      <c r="O35" s="149">
        <f>SUM(E35:N35)</f>
        <v>-7.63</v>
      </c>
      <c r="P35" s="155"/>
      <c r="Q35" s="197"/>
      <c r="R35" s="101"/>
      <c r="S35" s="4"/>
    </row>
    <row r="36" s="2" customFormat="1" ht="13.5" customHeight="1" spans="1:19">
      <c r="A36" s="66" t="s">
        <v>45</v>
      </c>
      <c r="B36" s="67"/>
      <c r="C36" s="67"/>
      <c r="D36" s="68" t="s">
        <v>31</v>
      </c>
      <c r="E36" s="76">
        <f>IF(E31="",NA(),MAX(E31:E33)-MIN(E31:E33))</f>
        <v>0.19</v>
      </c>
      <c r="F36" s="77">
        <f t="shared" ref="F36:N36" si="8">IF(F31="",NA(),MAX(F31:F33)-MIN(F31:F33))</f>
        <v>0.42</v>
      </c>
      <c r="G36" s="77">
        <f t="shared" si="8"/>
        <v>0.42</v>
      </c>
      <c r="H36" s="77">
        <f t="shared" si="8"/>
        <v>0.09</v>
      </c>
      <c r="I36" s="77">
        <f t="shared" si="8"/>
        <v>0.39</v>
      </c>
      <c r="J36" s="77">
        <f t="shared" si="8"/>
        <v>0.38</v>
      </c>
      <c r="K36" s="77">
        <f t="shared" si="8"/>
        <v>0.2</v>
      </c>
      <c r="L36" s="77">
        <f t="shared" si="8"/>
        <v>0.1</v>
      </c>
      <c r="M36" s="77">
        <f t="shared" si="8"/>
        <v>0.42</v>
      </c>
      <c r="N36" s="162">
        <f t="shared" si="8"/>
        <v>0.67</v>
      </c>
      <c r="O36" s="163"/>
      <c r="P36" s="158"/>
      <c r="Q36" s="198">
        <f>AVERAGE(E36:N36)</f>
        <v>0.328</v>
      </c>
      <c r="R36" s="101"/>
      <c r="S36" s="4"/>
    </row>
    <row r="37" s="2" customFormat="1" ht="19.5" customHeight="1" spans="1:19">
      <c r="A37" s="78" t="s">
        <v>46</v>
      </c>
      <c r="B37" s="79"/>
      <c r="C37" s="79"/>
      <c r="D37" s="80"/>
      <c r="E37" s="81">
        <f t="shared" ref="E37:N37" si="9">AVERAGE(E19:E21,E25:E27,E31:E33)</f>
        <v>0.168888888888889</v>
      </c>
      <c r="F37" s="81">
        <f t="shared" si="9"/>
        <v>-0.851111111111111</v>
      </c>
      <c r="G37" s="81">
        <f t="shared" si="9"/>
        <v>1.09888888888889</v>
      </c>
      <c r="H37" s="81">
        <f t="shared" si="9"/>
        <v>0.366666666666667</v>
      </c>
      <c r="I37" s="81">
        <f t="shared" si="9"/>
        <v>-1.06444444444444</v>
      </c>
      <c r="J37" s="81">
        <f t="shared" si="9"/>
        <v>-0.185555555555556</v>
      </c>
      <c r="K37" s="81">
        <f t="shared" si="9"/>
        <v>0.454444444444444</v>
      </c>
      <c r="L37" s="81">
        <f t="shared" si="9"/>
        <v>-0.342222222222222</v>
      </c>
      <c r="M37" s="81">
        <f t="shared" si="9"/>
        <v>1.94</v>
      </c>
      <c r="N37" s="81">
        <f t="shared" si="9"/>
        <v>-1.57111111111111</v>
      </c>
      <c r="O37" s="164"/>
      <c r="P37" s="10"/>
      <c r="Q37" s="200">
        <f>AVERAGE(E37:N37)</f>
        <v>0.00144444444444443</v>
      </c>
      <c r="R37" s="101"/>
      <c r="S37" s="4"/>
    </row>
    <row r="38" s="2" customFormat="1" ht="15" customHeight="1" spans="1:19">
      <c r="A38" s="82" t="s">
        <v>21</v>
      </c>
      <c r="B38" s="83"/>
      <c r="C38" s="83"/>
      <c r="D38" s="84"/>
      <c r="E38" s="85">
        <f t="shared" ref="E38:N38" si="10">SUM(E19:E21,E25:E27,E31:E33)</f>
        <v>1.52</v>
      </c>
      <c r="F38" s="85">
        <f t="shared" si="10"/>
        <v>-7.66</v>
      </c>
      <c r="G38" s="85">
        <f t="shared" si="10"/>
        <v>9.89</v>
      </c>
      <c r="H38" s="85">
        <f t="shared" si="10"/>
        <v>3.3</v>
      </c>
      <c r="I38" s="85">
        <f t="shared" si="10"/>
        <v>-9.58</v>
      </c>
      <c r="J38" s="85">
        <f t="shared" si="10"/>
        <v>-1.67</v>
      </c>
      <c r="K38" s="85">
        <f t="shared" si="10"/>
        <v>4.09</v>
      </c>
      <c r="L38" s="85">
        <f t="shared" si="10"/>
        <v>-3.08</v>
      </c>
      <c r="M38" s="85">
        <f t="shared" si="10"/>
        <v>17.46</v>
      </c>
      <c r="N38" s="85">
        <f t="shared" si="10"/>
        <v>-14.14</v>
      </c>
      <c r="O38" s="165">
        <f>SUM(E38:N38)</f>
        <v>0.129999999999999</v>
      </c>
      <c r="P38" s="13"/>
      <c r="Q38" s="201">
        <f>MAX(E37:N37)-MIN(E37:N37)</f>
        <v>3.51111111111111</v>
      </c>
      <c r="R38" s="101"/>
      <c r="S38" s="4"/>
    </row>
    <row r="39" s="2" customFormat="1" ht="15.75" customHeight="1" spans="1:19">
      <c r="A39" s="86"/>
      <c r="B39" s="87"/>
      <c r="C39" s="87"/>
      <c r="D39" s="87"/>
      <c r="E39" s="50"/>
      <c r="F39" s="88"/>
      <c r="G39" s="50"/>
      <c r="H39" s="89"/>
      <c r="I39" s="166">
        <f>IF(Q9=2,(Q24+Q30)/2,(Q24+Q30+Q36)/3)</f>
        <v>0.341666666666667</v>
      </c>
      <c r="J39" s="166"/>
      <c r="K39" s="50"/>
      <c r="L39" s="167"/>
      <c r="M39" s="168" t="s">
        <v>47</v>
      </c>
      <c r="N39" s="169"/>
      <c r="O39" s="169"/>
      <c r="P39" s="169">
        <v>2</v>
      </c>
      <c r="Q39" s="202">
        <v>3</v>
      </c>
      <c r="R39" s="101"/>
      <c r="S39" s="4"/>
    </row>
    <row r="40" s="2" customFormat="1" ht="15.75" customHeight="1" spans="1:19">
      <c r="A40" s="90"/>
      <c r="B40" s="91"/>
      <c r="C40" s="91"/>
      <c r="D40" s="91"/>
      <c r="E40" s="55"/>
      <c r="F40" s="55"/>
      <c r="G40" s="92"/>
      <c r="H40" s="55"/>
      <c r="I40" s="93">
        <f>IF(Q9=2,MAX(Q22,Q28)-MIN(Q22,Q28),MAX(Q22,Q28,Q34)-MIN(Q22,Q28,Q34))</f>
        <v>0.444666666666667</v>
      </c>
      <c r="J40" s="93"/>
      <c r="K40" s="55"/>
      <c r="L40" s="55"/>
      <c r="M40" s="91"/>
      <c r="N40" s="170"/>
      <c r="O40" s="170" t="s">
        <v>48</v>
      </c>
      <c r="P40" s="170">
        <v>3.267</v>
      </c>
      <c r="Q40" s="203">
        <v>2.575</v>
      </c>
      <c r="R40" s="101"/>
      <c r="S40" s="4"/>
    </row>
    <row r="41" s="2" customFormat="1" ht="15.75" customHeight="1" spans="1:19">
      <c r="A41" s="90"/>
      <c r="B41" s="91"/>
      <c r="C41" s="91"/>
      <c r="D41" s="91"/>
      <c r="E41" s="55"/>
      <c r="F41" s="92"/>
      <c r="G41" s="93">
        <f>IF(Q11=2,Q37+P42*I39,Q37+Q42*I39)</f>
        <v>0.350969444444444</v>
      </c>
      <c r="H41" s="55"/>
      <c r="I41" s="55"/>
      <c r="J41" s="55"/>
      <c r="K41" s="55"/>
      <c r="L41" s="93">
        <f>IF(Q11=2,P40*I39,Q40*I39)</f>
        <v>0.879791666666667</v>
      </c>
      <c r="M41" s="91"/>
      <c r="N41" s="170"/>
      <c r="O41" s="170" t="s">
        <v>49</v>
      </c>
      <c r="P41" s="170">
        <v>0</v>
      </c>
      <c r="Q41" s="203">
        <v>0</v>
      </c>
      <c r="R41" s="101"/>
      <c r="S41" s="4"/>
    </row>
    <row r="42" s="2" customFormat="1" ht="15.75" customHeight="1" spans="1:19">
      <c r="A42" s="94"/>
      <c r="B42" s="95"/>
      <c r="C42" s="95"/>
      <c r="D42" s="95"/>
      <c r="E42" s="63"/>
      <c r="F42" s="96"/>
      <c r="G42" s="97">
        <f>IF(Q11=2,Q37-P42*I39,Q37-Q42*I39)</f>
        <v>-0.348080555555556</v>
      </c>
      <c r="H42" s="63"/>
      <c r="I42" s="63"/>
      <c r="J42" s="63"/>
      <c r="K42" s="63"/>
      <c r="L42" s="97">
        <f>IF(Q11=2,P41*I39,Q41*I39)</f>
        <v>0</v>
      </c>
      <c r="M42" s="95"/>
      <c r="N42" s="171"/>
      <c r="O42" s="171" t="s">
        <v>50</v>
      </c>
      <c r="P42" s="171">
        <v>1.88</v>
      </c>
      <c r="Q42" s="204">
        <v>1.023</v>
      </c>
      <c r="R42" s="101"/>
      <c r="S42" s="4"/>
    </row>
    <row r="43" s="2" customFormat="1" ht="15.75" customHeight="1" spans="1:19">
      <c r="A43" s="98" t="s">
        <v>51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205"/>
      <c r="R43" s="101"/>
      <c r="S43" s="4"/>
    </row>
    <row r="44" s="2" customFormat="1" ht="6" customHeight="1" spans="1:19">
      <c r="A44" s="43" t="s">
        <v>52</v>
      </c>
      <c r="B44" s="100"/>
      <c r="C44" s="101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206"/>
      <c r="R44" s="101"/>
      <c r="S44" s="4"/>
    </row>
    <row r="45" s="2" customFormat="1" ht="5.25" customHeight="1" spans="1:19">
      <c r="A45" s="43"/>
      <c r="B45" s="100"/>
      <c r="C45" s="101"/>
      <c r="D45" s="103"/>
      <c r="E45" s="103"/>
      <c r="F45" s="104"/>
      <c r="G45" s="103"/>
      <c r="H45" s="104"/>
      <c r="I45" s="103"/>
      <c r="J45" s="103"/>
      <c r="K45" s="104"/>
      <c r="L45" s="103"/>
      <c r="M45" s="172"/>
      <c r="N45" s="103"/>
      <c r="O45" s="103"/>
      <c r="P45" s="103"/>
      <c r="Q45" s="207"/>
      <c r="R45" s="101"/>
      <c r="S45" s="4"/>
    </row>
    <row r="46" s="2" customFormat="1" ht="5.25" customHeight="1" spans="1:19">
      <c r="A46" s="43"/>
      <c r="B46" s="100"/>
      <c r="C46" s="101"/>
      <c r="D46" s="103"/>
      <c r="E46" s="103">
        <v>1</v>
      </c>
      <c r="F46" s="103">
        <v>2</v>
      </c>
      <c r="G46" s="103">
        <v>3</v>
      </c>
      <c r="H46" s="103">
        <v>4</v>
      </c>
      <c r="I46" s="103">
        <v>5</v>
      </c>
      <c r="J46" s="103">
        <v>6</v>
      </c>
      <c r="K46" s="103">
        <v>7</v>
      </c>
      <c r="L46" s="103">
        <v>8</v>
      </c>
      <c r="M46" s="103">
        <v>9</v>
      </c>
      <c r="N46" s="103">
        <v>10</v>
      </c>
      <c r="O46" s="103"/>
      <c r="P46" s="103"/>
      <c r="Q46" s="207"/>
      <c r="R46" s="101"/>
      <c r="S46" s="4"/>
    </row>
    <row r="47" s="2" customFormat="1" ht="5.25" customHeight="1" spans="1:19">
      <c r="A47" s="43"/>
      <c r="B47" s="100"/>
      <c r="C47" s="101"/>
      <c r="D47" s="105" t="s">
        <v>53</v>
      </c>
      <c r="E47" s="106">
        <f t="shared" ref="E47:N47" si="11">$G$41</f>
        <v>0.350969444444444</v>
      </c>
      <c r="F47" s="106">
        <f t="shared" si="11"/>
        <v>0.350969444444444</v>
      </c>
      <c r="G47" s="106">
        <f t="shared" si="11"/>
        <v>0.350969444444444</v>
      </c>
      <c r="H47" s="106">
        <f t="shared" si="11"/>
        <v>0.350969444444444</v>
      </c>
      <c r="I47" s="106">
        <f t="shared" si="11"/>
        <v>0.350969444444444</v>
      </c>
      <c r="J47" s="106">
        <f t="shared" si="11"/>
        <v>0.350969444444444</v>
      </c>
      <c r="K47" s="106">
        <f t="shared" si="11"/>
        <v>0.350969444444444</v>
      </c>
      <c r="L47" s="106">
        <f t="shared" si="11"/>
        <v>0.350969444444444</v>
      </c>
      <c r="M47" s="106">
        <f t="shared" si="11"/>
        <v>0.350969444444444</v>
      </c>
      <c r="N47" s="106">
        <f t="shared" si="11"/>
        <v>0.350969444444444</v>
      </c>
      <c r="O47" s="106"/>
      <c r="P47" s="103"/>
      <c r="Q47" s="207"/>
      <c r="R47" s="101"/>
      <c r="S47" s="4"/>
    </row>
    <row r="48" s="2" customFormat="1" ht="5.25" customHeight="1" spans="1:19">
      <c r="A48" s="43"/>
      <c r="B48" s="100"/>
      <c r="C48" s="101"/>
      <c r="D48" s="105" t="s">
        <v>54</v>
      </c>
      <c r="E48" s="106">
        <f t="shared" ref="E48:N48" si="12">$G$42</f>
        <v>-0.348080555555556</v>
      </c>
      <c r="F48" s="106">
        <f t="shared" si="12"/>
        <v>-0.348080555555556</v>
      </c>
      <c r="G48" s="106">
        <f t="shared" si="12"/>
        <v>-0.348080555555556</v>
      </c>
      <c r="H48" s="106">
        <f t="shared" si="12"/>
        <v>-0.348080555555556</v>
      </c>
      <c r="I48" s="106">
        <f t="shared" si="12"/>
        <v>-0.348080555555556</v>
      </c>
      <c r="J48" s="106">
        <f t="shared" si="12"/>
        <v>-0.348080555555556</v>
      </c>
      <c r="K48" s="106">
        <f t="shared" si="12"/>
        <v>-0.348080555555556</v>
      </c>
      <c r="L48" s="106">
        <f t="shared" si="12"/>
        <v>-0.348080555555556</v>
      </c>
      <c r="M48" s="106">
        <f t="shared" si="12"/>
        <v>-0.348080555555556</v>
      </c>
      <c r="N48" s="106">
        <f t="shared" si="12"/>
        <v>-0.348080555555556</v>
      </c>
      <c r="O48" s="106"/>
      <c r="P48" s="103"/>
      <c r="Q48" s="207"/>
      <c r="R48" s="101"/>
      <c r="S48" s="4"/>
    </row>
    <row r="49" s="2" customFormat="1" ht="5.25" customHeight="1" spans="1:19">
      <c r="A49" s="43"/>
      <c r="B49" s="100"/>
      <c r="C49" s="101"/>
      <c r="D49" s="105" t="s">
        <v>55</v>
      </c>
      <c r="E49" s="106">
        <f t="shared" ref="E49:N49" si="13">$L$41</f>
        <v>0.879791666666667</v>
      </c>
      <c r="F49" s="106">
        <f t="shared" si="13"/>
        <v>0.879791666666667</v>
      </c>
      <c r="G49" s="106">
        <f t="shared" si="13"/>
        <v>0.879791666666667</v>
      </c>
      <c r="H49" s="106">
        <f t="shared" si="13"/>
        <v>0.879791666666667</v>
      </c>
      <c r="I49" s="106">
        <f t="shared" si="13"/>
        <v>0.879791666666667</v>
      </c>
      <c r="J49" s="106">
        <f t="shared" si="13"/>
        <v>0.879791666666667</v>
      </c>
      <c r="K49" s="106">
        <f t="shared" si="13"/>
        <v>0.879791666666667</v>
      </c>
      <c r="L49" s="106">
        <f t="shared" si="13"/>
        <v>0.879791666666667</v>
      </c>
      <c r="M49" s="106">
        <f t="shared" si="13"/>
        <v>0.879791666666667</v>
      </c>
      <c r="N49" s="106">
        <f t="shared" si="13"/>
        <v>0.879791666666667</v>
      </c>
      <c r="O49" s="106"/>
      <c r="P49" s="103"/>
      <c r="Q49" s="207"/>
      <c r="R49" s="101"/>
      <c r="S49" s="4"/>
    </row>
    <row r="50" s="2" customFormat="1" ht="5.25" customHeight="1" spans="1:19">
      <c r="A50" s="43"/>
      <c r="B50" s="100"/>
      <c r="C50" s="101"/>
      <c r="D50" s="105" t="s">
        <v>56</v>
      </c>
      <c r="E50" s="106">
        <f t="shared" ref="E50:N50" si="14">$L$42</f>
        <v>0</v>
      </c>
      <c r="F50" s="106">
        <f t="shared" si="14"/>
        <v>0</v>
      </c>
      <c r="G50" s="106">
        <f t="shared" si="14"/>
        <v>0</v>
      </c>
      <c r="H50" s="106">
        <f t="shared" si="14"/>
        <v>0</v>
      </c>
      <c r="I50" s="106">
        <f t="shared" si="14"/>
        <v>0</v>
      </c>
      <c r="J50" s="106">
        <f t="shared" si="14"/>
        <v>0</v>
      </c>
      <c r="K50" s="106">
        <f t="shared" si="14"/>
        <v>0</v>
      </c>
      <c r="L50" s="106">
        <f t="shared" si="14"/>
        <v>0</v>
      </c>
      <c r="M50" s="106">
        <f t="shared" si="14"/>
        <v>0</v>
      </c>
      <c r="N50" s="106">
        <f t="shared" si="14"/>
        <v>0</v>
      </c>
      <c r="O50" s="106"/>
      <c r="P50" s="103"/>
      <c r="Q50" s="207"/>
      <c r="R50" s="101"/>
      <c r="S50" s="4"/>
    </row>
    <row r="51" s="2" customFormat="1" ht="5.25" customHeight="1" spans="1:19">
      <c r="A51" s="43"/>
      <c r="B51" s="100"/>
      <c r="C51" s="101"/>
      <c r="D51" s="105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207"/>
      <c r="R51" s="101"/>
      <c r="S51" s="4"/>
    </row>
    <row r="52" s="2" customFormat="1" ht="5.25" customHeight="1" spans="1:19">
      <c r="A52" s="43"/>
      <c r="B52" s="100"/>
      <c r="C52" s="101"/>
      <c r="D52" s="105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207"/>
      <c r="R52" s="101"/>
      <c r="S52" s="4"/>
    </row>
    <row r="53" s="2" customFormat="1" ht="5.25" customHeight="1" spans="1:19">
      <c r="A53" s="43"/>
      <c r="B53" s="100"/>
      <c r="C53" s="101"/>
      <c r="D53" s="107"/>
      <c r="E53" s="107" t="s">
        <v>57</v>
      </c>
      <c r="F53" s="103"/>
      <c r="G53" s="108"/>
      <c r="H53" s="108"/>
      <c r="I53" s="105" t="s">
        <v>58</v>
      </c>
      <c r="J53" s="103"/>
      <c r="K53" s="103"/>
      <c r="L53" s="108" t="s">
        <v>59</v>
      </c>
      <c r="M53" s="173" t="s">
        <v>60</v>
      </c>
      <c r="N53" s="103"/>
      <c r="O53" s="103"/>
      <c r="P53" s="108"/>
      <c r="Q53" s="207"/>
      <c r="R53" s="101"/>
      <c r="S53" s="4"/>
    </row>
    <row r="54" s="2" customFormat="1" ht="5.25" customHeight="1" spans="1:19">
      <c r="A54" s="43"/>
      <c r="B54" s="100"/>
      <c r="C54" s="101"/>
      <c r="D54" s="103"/>
      <c r="E54" s="105" t="s">
        <v>61</v>
      </c>
      <c r="F54" s="109">
        <f>N54</f>
        <v>1.10459555555556</v>
      </c>
      <c r="G54" s="109"/>
      <c r="H54" s="103"/>
      <c r="I54" s="105" t="s">
        <v>61</v>
      </c>
      <c r="J54" s="109">
        <f>N54</f>
        <v>1.10459555555556</v>
      </c>
      <c r="K54" s="109"/>
      <c r="L54" s="174">
        <f>J54</f>
        <v>1.10459555555556</v>
      </c>
      <c r="M54" s="105" t="s">
        <v>61</v>
      </c>
      <c r="N54" s="109">
        <f>C114</f>
        <v>1.10459555555556</v>
      </c>
      <c r="O54" s="109"/>
      <c r="P54" s="174"/>
      <c r="Q54" s="207"/>
      <c r="R54" s="101"/>
      <c r="S54" s="4"/>
    </row>
    <row r="55" s="2" customFormat="1" ht="5.25" customHeight="1" spans="1:19">
      <c r="A55" s="43"/>
      <c r="B55" s="100"/>
      <c r="C55" s="101"/>
      <c r="D55" s="103"/>
      <c r="E55" s="105" t="s">
        <v>62</v>
      </c>
      <c r="F55" s="109">
        <f>(I11-I13)/6</f>
        <v>0</v>
      </c>
      <c r="G55" s="109"/>
      <c r="H55" s="103"/>
      <c r="I55" s="105" t="s">
        <v>62</v>
      </c>
      <c r="J55" s="109">
        <f>M13</f>
        <v>0</v>
      </c>
      <c r="K55" s="109"/>
      <c r="L55" s="175" t="e">
        <f>(I11-I13)/(6*M13)</f>
        <v>#DIV/0!</v>
      </c>
      <c r="M55" s="105" t="s">
        <v>62</v>
      </c>
      <c r="N55" s="109">
        <f>POWER(POWER($C$109,2)+POWER($N$54,2),0.5)</f>
        <v>1.14613454685214</v>
      </c>
      <c r="O55" s="109"/>
      <c r="P55" s="174"/>
      <c r="Q55" s="208" t="s">
        <v>63</v>
      </c>
      <c r="R55" s="101"/>
      <c r="S55" s="4"/>
    </row>
    <row r="56" s="2" customFormat="1" ht="5.25" customHeight="1" spans="1:19">
      <c r="A56" s="43"/>
      <c r="B56" s="100"/>
      <c r="C56" s="101" t="s">
        <v>64</v>
      </c>
      <c r="D56" s="103"/>
      <c r="E56" s="103"/>
      <c r="F56" s="110" t="e">
        <f>$C$99/$F$55</f>
        <v>#DIV/0!</v>
      </c>
      <c r="G56" s="110"/>
      <c r="H56" s="103"/>
      <c r="I56" s="103"/>
      <c r="J56" s="110" t="e">
        <f>$C$99/$J$55</f>
        <v>#DIV/0!</v>
      </c>
      <c r="K56" s="110"/>
      <c r="L56" s="110" t="e">
        <f>C99/L55</f>
        <v>#DIV/0!</v>
      </c>
      <c r="M56" s="103"/>
      <c r="N56" s="110">
        <f>$C$99/$N$55</f>
        <v>0.176119520366144</v>
      </c>
      <c r="O56" s="110"/>
      <c r="P56" s="176"/>
      <c r="Q56" s="208" t="s">
        <v>65</v>
      </c>
      <c r="R56" s="101"/>
      <c r="S56" s="4"/>
    </row>
    <row r="57" s="2" customFormat="1" ht="5.25" customHeight="1" spans="1:19">
      <c r="A57" s="43"/>
      <c r="B57" s="100"/>
      <c r="C57" s="101" t="s">
        <v>66</v>
      </c>
      <c r="D57" s="103"/>
      <c r="E57" s="103"/>
      <c r="F57" s="110" t="e">
        <f>$C$104/$F$55</f>
        <v>#DIV/0!</v>
      </c>
      <c r="G57" s="110"/>
      <c r="H57" s="103"/>
      <c r="I57" s="103"/>
      <c r="J57" s="110" t="e">
        <f>$C$104/$J$55</f>
        <v>#DIV/0!</v>
      </c>
      <c r="K57" s="110"/>
      <c r="L57" s="110" t="e">
        <f>C104/L55</f>
        <v>#DIV/0!</v>
      </c>
      <c r="M57" s="103"/>
      <c r="N57" s="110">
        <f>$C$104/$N$55</f>
        <v>0.200384003548261</v>
      </c>
      <c r="O57" s="110"/>
      <c r="P57" s="176"/>
      <c r="Q57" s="208" t="s">
        <v>67</v>
      </c>
      <c r="R57" s="101"/>
      <c r="S57" s="4"/>
    </row>
    <row r="58" s="2" customFormat="1" ht="5.25" customHeight="1" spans="1:19">
      <c r="A58" s="43"/>
      <c r="B58" s="100"/>
      <c r="C58" s="101" t="s">
        <v>68</v>
      </c>
      <c r="D58" s="103"/>
      <c r="E58" s="103"/>
      <c r="F58" s="110" t="e">
        <f>$C$109/$F$55</f>
        <v>#DIV/0!</v>
      </c>
      <c r="G58" s="110"/>
      <c r="H58" s="103"/>
      <c r="I58" s="103"/>
      <c r="J58" s="110" t="e">
        <f>$C$109/J55</f>
        <v>#DIV/0!</v>
      </c>
      <c r="K58" s="110"/>
      <c r="L58" s="110" t="e">
        <f>C109/L55</f>
        <v>#DIV/0!</v>
      </c>
      <c r="M58" s="103"/>
      <c r="N58" s="110">
        <f>$C$109/$N$55</f>
        <v>0.266780498410267</v>
      </c>
      <c r="O58" s="110"/>
      <c r="P58" s="176"/>
      <c r="Q58" s="209" t="s">
        <v>69</v>
      </c>
      <c r="R58" s="101"/>
      <c r="S58" s="4"/>
    </row>
    <row r="59" s="2" customFormat="1" ht="5.25" customHeight="1" spans="1:19">
      <c r="A59" s="43"/>
      <c r="B59" s="100"/>
      <c r="C59" s="101" t="s">
        <v>70</v>
      </c>
      <c r="D59" s="103"/>
      <c r="E59" s="103"/>
      <c r="F59" s="110" t="e">
        <f>$C$114/$F$55</f>
        <v>#DIV/0!</v>
      </c>
      <c r="G59" s="110"/>
      <c r="H59" s="103"/>
      <c r="I59" s="103"/>
      <c r="J59" s="110" t="e">
        <f>$J$54/$J$55</f>
        <v>#DIV/0!</v>
      </c>
      <c r="K59" s="110"/>
      <c r="L59" s="110" t="e">
        <f>C114/L55</f>
        <v>#DIV/0!</v>
      </c>
      <c r="M59" s="103"/>
      <c r="N59" s="110">
        <f>$N$54/$N$55</f>
        <v>0.963757316790887</v>
      </c>
      <c r="O59" s="110"/>
      <c r="P59" s="176"/>
      <c r="Q59" s="209" t="s">
        <v>71</v>
      </c>
      <c r="R59" s="101"/>
      <c r="S59" s="4"/>
    </row>
    <row r="60" s="2" customFormat="1" ht="5.25" customHeight="1" spans="1:19">
      <c r="A60" s="43"/>
      <c r="B60" s="100"/>
      <c r="C60" s="101"/>
      <c r="D60" s="103"/>
      <c r="E60" s="103" t="s">
        <v>72</v>
      </c>
      <c r="F60" s="103">
        <f>1.41*C114/C109</f>
        <v>5.09369247292348</v>
      </c>
      <c r="G60" s="103"/>
      <c r="H60" s="103"/>
      <c r="I60" s="103"/>
      <c r="J60" s="103"/>
      <c r="K60" s="103"/>
      <c r="L60" s="103" t="str">
        <f>IF(N108&gt;0.3,"%R&amp;R大于30%.","")</f>
        <v/>
      </c>
      <c r="M60" s="103"/>
      <c r="N60" s="103"/>
      <c r="O60" s="103"/>
      <c r="P60" s="103"/>
      <c r="Q60" s="209" t="s">
        <v>73</v>
      </c>
      <c r="R60" s="101"/>
      <c r="S60" s="4"/>
    </row>
    <row r="61" s="2" customFormat="1" ht="5.25" customHeight="1" spans="1:19">
      <c r="A61" s="43"/>
      <c r="B61" s="100"/>
      <c r="C61" s="111"/>
      <c r="D61" s="103"/>
      <c r="E61" s="112" t="s">
        <v>74</v>
      </c>
      <c r="F61" s="113">
        <f>(SUM(O23,O29,O35))^2/(Q9*Q11*Q13)</f>
        <v>0.000187777777777772</v>
      </c>
      <c r="G61" s="103"/>
      <c r="H61" s="108" t="s">
        <v>75</v>
      </c>
      <c r="I61" s="108"/>
      <c r="J61" s="108"/>
      <c r="K61" s="113">
        <f>SUMSQ(O29,O35,O23)/Q13/Q11</f>
        <v>3.16745</v>
      </c>
      <c r="L61" s="108" t="s">
        <v>76</v>
      </c>
      <c r="M61" s="108"/>
      <c r="N61" s="108"/>
      <c r="O61" s="113">
        <f>SUMSQ(E38:N38)/Q9/Q11</f>
        <v>88.3621222222222</v>
      </c>
      <c r="P61" s="103"/>
      <c r="Q61" s="209"/>
      <c r="R61" s="101"/>
      <c r="S61" s="4"/>
    </row>
    <row r="62" s="2" customFormat="1" ht="5.25" customHeight="1" spans="1:19">
      <c r="A62" s="43" t="s">
        <v>77</v>
      </c>
      <c r="B62" s="100"/>
      <c r="C62" s="114" t="s">
        <v>78</v>
      </c>
      <c r="D62" s="114"/>
      <c r="E62" s="114"/>
      <c r="F62" s="114"/>
      <c r="G62" s="113">
        <f>SUMSQ(E23:N23,E29:N29,E35:N35)/Q11</f>
        <v>91.8883666666666</v>
      </c>
      <c r="H62" s="103"/>
      <c r="I62" s="177" t="s">
        <v>79</v>
      </c>
      <c r="J62" s="177"/>
      <c r="K62" s="113">
        <f>SUMSQ(E19:N21,E25:N27,E31:N33)</f>
        <v>94.6473</v>
      </c>
      <c r="L62" s="103"/>
      <c r="M62" s="103"/>
      <c r="N62" s="103"/>
      <c r="O62" s="108" t="s">
        <v>80</v>
      </c>
      <c r="P62" s="108"/>
      <c r="Q62" s="209"/>
      <c r="R62" s="101"/>
      <c r="S62" s="4"/>
    </row>
    <row r="63" s="2" customFormat="1" ht="5.25" customHeight="1" spans="1:19">
      <c r="A63" s="43"/>
      <c r="B63" s="100"/>
      <c r="C63" s="102"/>
      <c r="D63" s="115" t="s">
        <v>81</v>
      </c>
      <c r="E63" s="116"/>
      <c r="F63" s="116"/>
      <c r="G63" s="116"/>
      <c r="H63" s="116"/>
      <c r="I63" s="116"/>
      <c r="J63" s="116"/>
      <c r="K63" s="116" t="s">
        <v>82</v>
      </c>
      <c r="L63" s="116"/>
      <c r="M63" s="116"/>
      <c r="N63" s="116"/>
      <c r="O63" s="116"/>
      <c r="P63" s="116"/>
      <c r="Q63" s="210"/>
      <c r="R63" s="101"/>
      <c r="S63" s="4"/>
    </row>
    <row r="64" s="2" customFormat="1" ht="5.25" customHeight="1" spans="1:19">
      <c r="A64" s="43"/>
      <c r="B64" s="100"/>
      <c r="C64" s="101"/>
      <c r="D64" s="117" t="s">
        <v>83</v>
      </c>
      <c r="E64" s="118"/>
      <c r="F64" s="118" t="s">
        <v>84</v>
      </c>
      <c r="G64" s="118" t="s">
        <v>85</v>
      </c>
      <c r="H64" s="118" t="s">
        <v>86</v>
      </c>
      <c r="I64" s="118" t="s">
        <v>87</v>
      </c>
      <c r="J64" s="118" t="s">
        <v>88</v>
      </c>
      <c r="K64" s="178" t="s">
        <v>83</v>
      </c>
      <c r="L64" s="118"/>
      <c r="M64" s="118" t="s">
        <v>84</v>
      </c>
      <c r="N64" s="118" t="s">
        <v>85</v>
      </c>
      <c r="O64" s="118" t="s">
        <v>86</v>
      </c>
      <c r="P64" s="118" t="s">
        <v>87</v>
      </c>
      <c r="Q64" s="211" t="s">
        <v>88</v>
      </c>
      <c r="R64" s="101"/>
      <c r="S64" s="4"/>
    </row>
    <row r="65" s="2" customFormat="1" ht="5.25" customHeight="1" spans="1:19">
      <c r="A65" s="43"/>
      <c r="B65" s="100"/>
      <c r="C65" s="101"/>
      <c r="D65" s="212" t="s">
        <v>89</v>
      </c>
      <c r="E65" s="213"/>
      <c r="F65" s="214">
        <f>Q13-1</f>
        <v>9</v>
      </c>
      <c r="G65" s="215">
        <f>O61-F61</f>
        <v>88.3619344444444</v>
      </c>
      <c r="H65" s="215">
        <f>G65/F65</f>
        <v>9.81799271604938</v>
      </c>
      <c r="I65" s="215">
        <f>H65/H67</f>
        <v>492.291422664113</v>
      </c>
      <c r="J65" s="215">
        <f>FDIST(I65,F65,F67)</f>
        <v>1.16306399492519e-19</v>
      </c>
      <c r="K65" s="217" t="s">
        <v>89</v>
      </c>
      <c r="L65" s="217"/>
      <c r="M65" s="214">
        <f>Q13-1</f>
        <v>9</v>
      </c>
      <c r="N65" s="215">
        <f>G65</f>
        <v>88.3619344444444</v>
      </c>
      <c r="O65" s="215">
        <f>N65/M65</f>
        <v>9.81799271604938</v>
      </c>
      <c r="P65" s="215">
        <f>O65/O68</f>
        <v>245.61391038552</v>
      </c>
      <c r="Q65" s="323">
        <f>FDIST(P65,M65,M68)</f>
        <v>2.02101179452054e-53</v>
      </c>
      <c r="R65" s="101"/>
      <c r="S65" s="4"/>
    </row>
    <row r="66" s="2" customFormat="1" ht="5.25" customHeight="1" spans="1:19">
      <c r="A66" s="43"/>
      <c r="B66" s="100"/>
      <c r="C66" s="101"/>
      <c r="D66" s="216" t="s">
        <v>90</v>
      </c>
      <c r="E66" s="217"/>
      <c r="F66" s="214">
        <f>Q9-1</f>
        <v>2</v>
      </c>
      <c r="G66" s="215">
        <f>K61-F61</f>
        <v>3.16726222222222</v>
      </c>
      <c r="H66" s="215">
        <f>G66/F66</f>
        <v>1.58363111111111</v>
      </c>
      <c r="I66" s="215">
        <f>H66/H67</f>
        <v>79.4060492008332</v>
      </c>
      <c r="J66" s="215">
        <f>FDIST(I66,F66,F67)</f>
        <v>1.1744776063403e-9</v>
      </c>
      <c r="K66" s="217" t="s">
        <v>90</v>
      </c>
      <c r="L66" s="217"/>
      <c r="M66" s="214">
        <f>F66</f>
        <v>2</v>
      </c>
      <c r="N66" s="215">
        <f>G66</f>
        <v>3.16726222222222</v>
      </c>
      <c r="O66" s="215">
        <f>N66/M66</f>
        <v>1.58363111111111</v>
      </c>
      <c r="P66" s="215">
        <f>O66/O68</f>
        <v>39.61724570974</v>
      </c>
      <c r="Q66" s="323">
        <f>FDIST(P66,M66,M69)</f>
        <v>4.95035145652138e-13</v>
      </c>
      <c r="R66" s="101"/>
      <c r="S66" s="4"/>
    </row>
    <row r="67" s="2" customFormat="1" ht="5.25" customHeight="1" spans="1:19">
      <c r="A67" s="43"/>
      <c r="B67" s="100"/>
      <c r="C67" s="101"/>
      <c r="D67" s="216" t="s">
        <v>91</v>
      </c>
      <c r="E67" s="217"/>
      <c r="F67" s="214">
        <f>F65*F66</f>
        <v>18</v>
      </c>
      <c r="G67" s="215">
        <f>G62-O61-K61+F61</f>
        <v>0.358982222222194</v>
      </c>
      <c r="H67" s="215">
        <f>G67/F67</f>
        <v>0.0199434567901219</v>
      </c>
      <c r="I67" s="215">
        <f>H67/H68</f>
        <v>0.433721030135058</v>
      </c>
      <c r="J67" s="215">
        <f>FDIST(I67,F67,F68)</f>
        <v>0.97410640432906</v>
      </c>
      <c r="K67" s="217"/>
      <c r="L67" s="217"/>
      <c r="M67" s="214"/>
      <c r="N67" s="215"/>
      <c r="O67" s="215"/>
      <c r="P67" s="215"/>
      <c r="Q67" s="323"/>
      <c r="R67" s="101"/>
      <c r="S67" s="4"/>
    </row>
    <row r="68" s="2" customFormat="1" ht="5.25" customHeight="1" spans="1:19">
      <c r="A68" s="43"/>
      <c r="B68" s="100"/>
      <c r="C68" s="101"/>
      <c r="D68" s="216" t="s">
        <v>92</v>
      </c>
      <c r="E68" s="217"/>
      <c r="F68" s="218">
        <f>Q9*Q13*(Q11-1)</f>
        <v>60</v>
      </c>
      <c r="G68" s="215">
        <f>K62-G62</f>
        <v>2.7589333333334</v>
      </c>
      <c r="H68" s="215">
        <f>G68/F68</f>
        <v>0.0459822222222234</v>
      </c>
      <c r="I68" s="215"/>
      <c r="J68" s="215"/>
      <c r="K68" s="217" t="s">
        <v>92</v>
      </c>
      <c r="L68" s="217"/>
      <c r="M68" s="218">
        <f>Q9*Q13*(Q11-1)+(Q13-1)*(Q9-1)</f>
        <v>78</v>
      </c>
      <c r="N68" s="215">
        <f>K62-O61-K61+F61</f>
        <v>3.1179155555556</v>
      </c>
      <c r="O68" s="215">
        <f>N68/M68</f>
        <v>0.0399732763532769</v>
      </c>
      <c r="P68" s="215"/>
      <c r="Q68" s="323"/>
      <c r="R68" s="101"/>
      <c r="S68" s="4"/>
    </row>
    <row r="69" s="2" customFormat="1" ht="5.25" customHeight="1" spans="1:19">
      <c r="A69" s="43"/>
      <c r="B69" s="100"/>
      <c r="C69" s="101"/>
      <c r="D69" s="212" t="s">
        <v>21</v>
      </c>
      <c r="E69" s="213"/>
      <c r="F69" s="218">
        <f>Q9*Q11*Q13-1</f>
        <v>89</v>
      </c>
      <c r="G69" s="215">
        <f>K62-F61</f>
        <v>94.6471122222223</v>
      </c>
      <c r="H69" s="215"/>
      <c r="I69" s="215"/>
      <c r="J69" s="215"/>
      <c r="K69" s="217" t="s">
        <v>21</v>
      </c>
      <c r="L69" s="217"/>
      <c r="M69" s="218">
        <f>F69</f>
        <v>89</v>
      </c>
      <c r="N69" s="215">
        <f>K62-F61</f>
        <v>94.6471122222223</v>
      </c>
      <c r="O69" s="215"/>
      <c r="P69" s="215"/>
      <c r="Q69" s="323"/>
      <c r="R69" s="101"/>
      <c r="S69" s="4"/>
    </row>
    <row r="70" s="2" customFormat="1" ht="5.25" customHeight="1" spans="1:19">
      <c r="A70" s="43"/>
      <c r="B70" s="100"/>
      <c r="C70" s="101"/>
      <c r="D70" s="219" t="s">
        <v>93</v>
      </c>
      <c r="E70" s="220"/>
      <c r="F70" s="220"/>
      <c r="G70" s="220"/>
      <c r="H70" s="220"/>
      <c r="I70" s="220"/>
      <c r="J70" s="220"/>
      <c r="K70" s="220" t="s">
        <v>94</v>
      </c>
      <c r="L70" s="220"/>
      <c r="M70" s="220"/>
      <c r="N70" s="220"/>
      <c r="O70" s="220"/>
      <c r="P70" s="220"/>
      <c r="Q70" s="324"/>
      <c r="R70" s="101"/>
      <c r="S70" s="4"/>
    </row>
    <row r="71" s="2" customFormat="1" ht="5.25" customHeight="1" spans="1:19">
      <c r="A71" s="43"/>
      <c r="B71" s="100"/>
      <c r="C71" s="101"/>
      <c r="D71" s="221" t="s">
        <v>83</v>
      </c>
      <c r="E71" s="222"/>
      <c r="F71" s="223" t="s">
        <v>95</v>
      </c>
      <c r="G71" s="223" t="s">
        <v>96</v>
      </c>
      <c r="H71" s="223" t="s">
        <v>97</v>
      </c>
      <c r="I71" s="223" t="s">
        <v>98</v>
      </c>
      <c r="J71" s="223" t="s">
        <v>99</v>
      </c>
      <c r="K71" s="223" t="s">
        <v>83</v>
      </c>
      <c r="L71" s="223"/>
      <c r="M71" s="223" t="s">
        <v>95</v>
      </c>
      <c r="N71" s="223" t="s">
        <v>96</v>
      </c>
      <c r="O71" s="223" t="s">
        <v>97</v>
      </c>
      <c r="P71" s="223" t="s">
        <v>98</v>
      </c>
      <c r="Q71" s="325" t="s">
        <v>99</v>
      </c>
      <c r="R71" s="101"/>
      <c r="S71" s="4"/>
    </row>
    <row r="72" s="2" customFormat="1" ht="5.25" customHeight="1" spans="1:19">
      <c r="A72" s="43"/>
      <c r="B72" s="100"/>
      <c r="C72" s="101"/>
      <c r="D72" s="216" t="s">
        <v>100</v>
      </c>
      <c r="E72" s="217"/>
      <c r="F72" s="215">
        <f>F73+F74</f>
        <v>0.098105144032923</v>
      </c>
      <c r="G72" s="215">
        <f t="shared" ref="G72:G78" si="15">SQRT(F72)</f>
        <v>0.313217406976246</v>
      </c>
      <c r="H72" s="224">
        <f t="shared" ref="H72:H78" si="16">F72/$F$78</f>
        <v>0.0826651684015593</v>
      </c>
      <c r="I72" s="274">
        <f t="shared" ref="I72:I78" si="17">G72/$G$78</f>
        <v>0.287515509845224</v>
      </c>
      <c r="J72" s="224" t="e">
        <f t="shared" ref="J72:J78" si="18">6*G72/($I$11-$I$13)</f>
        <v>#DIV/0!</v>
      </c>
      <c r="K72" s="217" t="s">
        <v>100</v>
      </c>
      <c r="L72" s="217"/>
      <c r="M72" s="215">
        <f>M73+M74</f>
        <v>0.0914285375118713</v>
      </c>
      <c r="N72" s="215">
        <f>SQRT(M72)</f>
        <v>0.302371522322905</v>
      </c>
      <c r="O72" s="274">
        <f>M72/$M$78</f>
        <v>0.0776215867520899</v>
      </c>
      <c r="P72" s="224">
        <f>N72/$N$78</f>
        <v>0.278606508811424</v>
      </c>
      <c r="Q72" s="326" t="e">
        <f>6*N72/($I$11-$I$13)</f>
        <v>#DIV/0!</v>
      </c>
      <c r="R72" s="101"/>
      <c r="S72" s="4"/>
    </row>
    <row r="73" s="2" customFormat="1" ht="5.25" customHeight="1" spans="1:19">
      <c r="A73" s="43"/>
      <c r="B73" s="100"/>
      <c r="C73" s="101"/>
      <c r="D73" s="216" t="s">
        <v>101</v>
      </c>
      <c r="E73" s="217"/>
      <c r="F73" s="215">
        <f>H68</f>
        <v>0.0459822222222234</v>
      </c>
      <c r="G73" s="215">
        <f t="shared" si="15"/>
        <v>0.214434657232042</v>
      </c>
      <c r="H73" s="224">
        <f t="shared" si="16"/>
        <v>0.038745451942891</v>
      </c>
      <c r="I73" s="274">
        <f t="shared" si="17"/>
        <v>0.196838644434702</v>
      </c>
      <c r="J73" s="224" t="e">
        <f t="shared" si="18"/>
        <v>#DIV/0!</v>
      </c>
      <c r="K73" s="217" t="s">
        <v>101</v>
      </c>
      <c r="L73" s="217"/>
      <c r="M73" s="215">
        <f>O68</f>
        <v>0.0399732763532769</v>
      </c>
      <c r="N73" s="215">
        <f>SQRT(M73)</f>
        <v>0.199933179720818</v>
      </c>
      <c r="O73" s="274">
        <f>M73/$M$78</f>
        <v>0.0339367687886101</v>
      </c>
      <c r="P73" s="224">
        <f>N73/$N$78</f>
        <v>0.184219349658526</v>
      </c>
      <c r="Q73" s="326" t="e">
        <f>6*N73/($I$11-$I$13)</f>
        <v>#DIV/0!</v>
      </c>
      <c r="R73" s="101"/>
      <c r="S73" s="4"/>
    </row>
    <row r="74" s="2" customFormat="1" ht="5.25" customHeight="1" spans="1:19">
      <c r="A74" s="43"/>
      <c r="B74" s="100"/>
      <c r="C74" s="101"/>
      <c r="D74" s="216" t="s">
        <v>102</v>
      </c>
      <c r="E74" s="217"/>
      <c r="F74" s="215">
        <f>F75+F76</f>
        <v>0.0521229218106996</v>
      </c>
      <c r="G74" s="215">
        <f t="shared" si="15"/>
        <v>0.22830444982676</v>
      </c>
      <c r="H74" s="224">
        <f t="shared" si="16"/>
        <v>0.0439197164586683</v>
      </c>
      <c r="I74" s="274">
        <f t="shared" si="17"/>
        <v>0.209570313877391</v>
      </c>
      <c r="J74" s="224" t="e">
        <f t="shared" si="18"/>
        <v>#DIV/0!</v>
      </c>
      <c r="K74" s="217" t="s">
        <v>102</v>
      </c>
      <c r="L74" s="217"/>
      <c r="M74" s="215">
        <f>IF(M75&gt;0,M75,0)</f>
        <v>0.0514552611585945</v>
      </c>
      <c r="N74" s="215">
        <f>SQRT(M74)</f>
        <v>0.226837521496322</v>
      </c>
      <c r="O74" s="274">
        <f>M74/$M$78</f>
        <v>0.0436848179634797</v>
      </c>
      <c r="P74" s="224">
        <f>N74/$N$78</f>
        <v>0.209009133684343</v>
      </c>
      <c r="Q74" s="326" t="e">
        <f>6*N74/($I$11-$I$13)</f>
        <v>#DIV/0!</v>
      </c>
      <c r="R74" s="101"/>
      <c r="S74" s="4"/>
    </row>
    <row r="75" s="2" customFormat="1" ht="5.25" customHeight="1" spans="1:19">
      <c r="A75" s="43"/>
      <c r="B75" s="100"/>
      <c r="C75" s="101"/>
      <c r="D75" s="216" t="s">
        <v>103</v>
      </c>
      <c r="E75" s="217"/>
      <c r="F75" s="215">
        <f>IF((H66-H67)/(Q13*Q11)&lt;0,0,(H66-H67)/(Q13*Q11))</f>
        <v>0.0521229218106996</v>
      </c>
      <c r="G75" s="215">
        <f t="shared" si="15"/>
        <v>0.22830444982676</v>
      </c>
      <c r="H75" s="224">
        <f t="shared" si="16"/>
        <v>0.0439197164586683</v>
      </c>
      <c r="I75" s="274">
        <f t="shared" si="17"/>
        <v>0.209570313877391</v>
      </c>
      <c r="J75" s="224" t="e">
        <f t="shared" si="18"/>
        <v>#DIV/0!</v>
      </c>
      <c r="K75" s="217" t="s">
        <v>103</v>
      </c>
      <c r="L75" s="217"/>
      <c r="M75" s="215">
        <f>IF((O66-O68)/(Q11*Q13)&lt;0,0,(O66-O68)/(Q11*Q13))</f>
        <v>0.0514552611585945</v>
      </c>
      <c r="N75" s="215">
        <f>SQRT(M75)</f>
        <v>0.226837521496322</v>
      </c>
      <c r="O75" s="274">
        <f>M75/$M$78</f>
        <v>0.0436848179634797</v>
      </c>
      <c r="P75" s="224">
        <f>N75/$N$78</f>
        <v>0.209009133684343</v>
      </c>
      <c r="Q75" s="326" t="e">
        <f>6*N75/($I$11-$I$13)</f>
        <v>#DIV/0!</v>
      </c>
      <c r="R75" s="101"/>
      <c r="S75" s="4"/>
    </row>
    <row r="76" s="2" customFormat="1" ht="6" customHeight="1" spans="1:19">
      <c r="A76" s="43"/>
      <c r="B76" s="100"/>
      <c r="C76" s="225"/>
      <c r="D76" s="216" t="s">
        <v>91</v>
      </c>
      <c r="E76" s="217"/>
      <c r="F76" s="215">
        <f>IF((H67-H68)/Q11&lt;0,0,(H67-H68)/Q11)</f>
        <v>0</v>
      </c>
      <c r="G76" s="215">
        <f t="shared" si="15"/>
        <v>0</v>
      </c>
      <c r="H76" s="224">
        <f t="shared" si="16"/>
        <v>0</v>
      </c>
      <c r="I76" s="274">
        <f t="shared" si="17"/>
        <v>0</v>
      </c>
      <c r="J76" s="224" t="e">
        <f t="shared" si="18"/>
        <v>#DIV/0!</v>
      </c>
      <c r="K76" s="217"/>
      <c r="L76" s="217"/>
      <c r="M76" s="215"/>
      <c r="N76" s="215"/>
      <c r="O76" s="274"/>
      <c r="P76" s="224"/>
      <c r="Q76" s="326"/>
      <c r="R76" s="101"/>
      <c r="S76" s="4"/>
    </row>
    <row r="77" s="2" customFormat="1" ht="6" customHeight="1" spans="1:19">
      <c r="A77" s="43"/>
      <c r="B77" s="100"/>
      <c r="C77" s="101"/>
      <c r="D77" s="216" t="s">
        <v>104</v>
      </c>
      <c r="E77" s="217"/>
      <c r="F77" s="215">
        <f>IF((H65-H67)/(Q9*Q11)&lt;0,0,(H65-H67)/(Q9*Q11))</f>
        <v>1.0886721399177</v>
      </c>
      <c r="G77" s="215">
        <f t="shared" si="15"/>
        <v>1.04339452745244</v>
      </c>
      <c r="H77" s="224">
        <f t="shared" si="16"/>
        <v>0.917334831598441</v>
      </c>
      <c r="I77" s="274">
        <f t="shared" si="17"/>
        <v>0.957775981949036</v>
      </c>
      <c r="J77" s="224" t="e">
        <f t="shared" si="18"/>
        <v>#DIV/0!</v>
      </c>
      <c r="K77" s="217" t="s">
        <v>104</v>
      </c>
      <c r="L77" s="217"/>
      <c r="M77" s="215">
        <f>IF((O65-O68)/(Q9*Q11)&lt;0,0,(O65-O68)/(Q9*Q11))</f>
        <v>1.08644660441068</v>
      </c>
      <c r="N77" s="215">
        <f>SQRT(M77)</f>
        <v>1.04232749383803</v>
      </c>
      <c r="O77" s="274">
        <f>M77/$M$78</f>
        <v>0.92237841324791</v>
      </c>
      <c r="P77" s="224">
        <f>N77/$N$78</f>
        <v>0.960405337994281</v>
      </c>
      <c r="Q77" s="326" t="e">
        <f>6*N77/($I$11-$I$13)</f>
        <v>#DIV/0!</v>
      </c>
      <c r="R77" s="101"/>
      <c r="S77" s="4"/>
    </row>
    <row r="78" s="2" customFormat="1" ht="6" customHeight="1" spans="1:19">
      <c r="A78" s="226"/>
      <c r="B78" s="227"/>
      <c r="C78" s="37"/>
      <c r="D78" s="228" t="s">
        <v>105</v>
      </c>
      <c r="E78" s="229"/>
      <c r="F78" s="230">
        <f>F77+F72</f>
        <v>1.18677728395062</v>
      </c>
      <c r="G78" s="230">
        <f t="shared" si="15"/>
        <v>1.08939308055018</v>
      </c>
      <c r="H78" s="231">
        <f t="shared" si="16"/>
        <v>1</v>
      </c>
      <c r="I78" s="275">
        <f t="shared" si="17"/>
        <v>1</v>
      </c>
      <c r="J78" s="231" t="e">
        <f t="shared" si="18"/>
        <v>#DIV/0!</v>
      </c>
      <c r="K78" s="229" t="s">
        <v>105</v>
      </c>
      <c r="L78" s="229"/>
      <c r="M78" s="230">
        <f>M72+M77</f>
        <v>1.17787514192255</v>
      </c>
      <c r="N78" s="230">
        <f>SQRT(M78)</f>
        <v>1.08529956321863</v>
      </c>
      <c r="O78" s="275">
        <f>M78/$M$78</f>
        <v>1</v>
      </c>
      <c r="P78" s="231">
        <f>N78/$N$78</f>
        <v>1</v>
      </c>
      <c r="Q78" s="327" t="e">
        <f>6*N78/($I$11-$I$13)</f>
        <v>#DIV/0!</v>
      </c>
      <c r="R78" s="101"/>
      <c r="S78" s="4"/>
    </row>
    <row r="79" s="2" customFormat="1" ht="3" customHeight="1" spans="1:19">
      <c r="A79" s="44"/>
      <c r="B79" s="44"/>
      <c r="C79" s="44"/>
      <c r="D79" s="44"/>
      <c r="E79" s="44"/>
      <c r="F79" s="44"/>
      <c r="G79" s="44"/>
      <c r="H79" s="44"/>
      <c r="I79" s="44"/>
      <c r="J79" s="44"/>
      <c r="K79" s="44"/>
      <c r="L79" s="44"/>
      <c r="M79" s="44"/>
      <c r="N79" s="44"/>
      <c r="O79" s="44"/>
      <c r="P79" s="44"/>
      <c r="Q79" s="44"/>
      <c r="R79" s="328"/>
      <c r="S79" s="329"/>
    </row>
    <row r="80" s="1" customFormat="1" ht="21.75" customHeight="1" spans="1:19">
      <c r="A80" s="5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179"/>
      <c r="R80" s="101"/>
      <c r="S80" s="181"/>
    </row>
    <row r="81" s="1" customFormat="1" ht="14.25" customHeight="1" spans="1:19">
      <c r="A81" s="7" t="s">
        <v>106</v>
      </c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182"/>
      <c r="R81" s="101"/>
      <c r="S81" s="181"/>
    </row>
    <row r="82" s="1" customFormat="1" ht="6" customHeight="1" spans="1:19">
      <c r="A82" s="9"/>
      <c r="B82" s="10"/>
      <c r="C82" s="10"/>
      <c r="D82" s="10"/>
      <c r="E82" s="10"/>
      <c r="F82" s="10"/>
      <c r="G82" s="10"/>
      <c r="H82" s="10"/>
      <c r="I82" s="10"/>
      <c r="J82" s="119"/>
      <c r="K82" s="119"/>
      <c r="L82" s="119"/>
      <c r="M82" s="119"/>
      <c r="N82" s="119"/>
      <c r="O82" s="119"/>
      <c r="P82" s="120"/>
      <c r="Q82" s="183"/>
      <c r="R82" s="101"/>
      <c r="S82" s="181"/>
    </row>
    <row r="83" s="1" customFormat="1" ht="15" customHeight="1" spans="1:19">
      <c r="A83" s="9"/>
      <c r="B83" s="10"/>
      <c r="C83" s="10"/>
      <c r="D83" s="10"/>
      <c r="E83" s="10"/>
      <c r="F83" s="17"/>
      <c r="G83" s="17"/>
      <c r="H83" s="17"/>
      <c r="I83" s="10"/>
      <c r="J83" s="17"/>
      <c r="K83" s="17"/>
      <c r="L83" s="123" t="str">
        <f>L4</f>
        <v>报告编号Report NO.</v>
      </c>
      <c r="M83" s="123"/>
      <c r="N83" s="123"/>
      <c r="O83" s="123"/>
      <c r="P83" s="276" t="str">
        <f>IF(P4="","",P4)</f>
        <v/>
      </c>
      <c r="Q83" s="330"/>
      <c r="R83" s="101"/>
      <c r="S83" s="181"/>
    </row>
    <row r="84" s="2" customFormat="1" ht="3" customHeight="1" spans="1:19">
      <c r="A84" s="232"/>
      <c r="B84" s="37"/>
      <c r="C84" s="37"/>
      <c r="D84" s="13"/>
      <c r="E84" s="13"/>
      <c r="F84" s="37"/>
      <c r="G84" s="37"/>
      <c r="H84" s="37"/>
      <c r="I84" s="13"/>
      <c r="J84" s="37"/>
      <c r="K84" s="37"/>
      <c r="L84" s="37"/>
      <c r="M84" s="37"/>
      <c r="N84" s="37"/>
      <c r="O84" s="37"/>
      <c r="P84" s="37"/>
      <c r="Q84" s="331"/>
      <c r="R84" s="101"/>
      <c r="S84" s="4"/>
    </row>
    <row r="85" s="2" customFormat="1" ht="2.25" customHeight="1" spans="1:19">
      <c r="A85" s="39"/>
      <c r="B85" s="41"/>
      <c r="C85" s="41"/>
      <c r="D85" s="20"/>
      <c r="E85" s="20"/>
      <c r="F85" s="41"/>
      <c r="G85" s="41"/>
      <c r="H85" s="41"/>
      <c r="I85" s="20"/>
      <c r="J85" s="41"/>
      <c r="K85" s="41"/>
      <c r="L85" s="41"/>
      <c r="M85" s="41"/>
      <c r="N85" s="41"/>
      <c r="O85" s="41"/>
      <c r="P85" s="41"/>
      <c r="Q85" s="332"/>
      <c r="R85" s="101"/>
      <c r="S85" s="4"/>
    </row>
    <row r="86" s="2" customFormat="1" ht="20.25" customHeight="1" spans="1:19">
      <c r="A86" s="22" t="s">
        <v>107</v>
      </c>
      <c r="B86" s="23"/>
      <c r="C86" s="23"/>
      <c r="D86" s="24"/>
      <c r="E86" s="233" t="str">
        <f>IF(E7="","",E7)</f>
        <v/>
      </c>
      <c r="F86" s="234"/>
      <c r="G86" s="27" t="s">
        <v>3</v>
      </c>
      <c r="H86" s="28"/>
      <c r="I86" s="233" t="str">
        <f>IF(I7="","",I7)</f>
        <v/>
      </c>
      <c r="J86" s="234"/>
      <c r="K86" s="27" t="s">
        <v>108</v>
      </c>
      <c r="L86" s="24"/>
      <c r="M86" s="233" t="str">
        <f>IF(M7="","",M7)</f>
        <v/>
      </c>
      <c r="N86" s="234"/>
      <c r="O86" s="235"/>
      <c r="P86" s="277" t="s">
        <v>5</v>
      </c>
      <c r="Q86" s="333">
        <f>Q7</f>
        <v>0</v>
      </c>
      <c r="R86" s="101"/>
      <c r="S86" s="4"/>
    </row>
    <row r="87" s="2" customFormat="1" ht="3" customHeight="1" spans="1:19">
      <c r="A87" s="29"/>
      <c r="B87" s="23"/>
      <c r="C87" s="30"/>
      <c r="D87" s="30"/>
      <c r="E87" s="235"/>
      <c r="F87" s="235"/>
      <c r="G87" s="23"/>
      <c r="H87" s="23"/>
      <c r="I87" s="235"/>
      <c r="J87" s="235"/>
      <c r="K87" s="23"/>
      <c r="L87" s="23"/>
      <c r="M87" s="235"/>
      <c r="N87" s="235"/>
      <c r="O87" s="235"/>
      <c r="P87" s="133"/>
      <c r="Q87" s="189"/>
      <c r="R87" s="101"/>
      <c r="S87" s="4"/>
    </row>
    <row r="88" s="2" customFormat="1" ht="20.25" customHeight="1" spans="1:19">
      <c r="A88" s="22" t="s">
        <v>6</v>
      </c>
      <c r="B88" s="23"/>
      <c r="C88" s="23"/>
      <c r="D88" s="24"/>
      <c r="E88" s="233" t="str">
        <f>IF(E9="","",E9)</f>
        <v/>
      </c>
      <c r="F88" s="234"/>
      <c r="G88" s="27" t="s">
        <v>109</v>
      </c>
      <c r="H88" s="24"/>
      <c r="I88" s="233" t="str">
        <f>IF(I9="","",I9)</f>
        <v/>
      </c>
      <c r="J88" s="234"/>
      <c r="K88" s="27" t="s">
        <v>110</v>
      </c>
      <c r="L88" s="28"/>
      <c r="M88" s="233" t="str">
        <f>IF(M9="","",M9)</f>
        <v/>
      </c>
      <c r="N88" s="234"/>
      <c r="O88" s="235"/>
      <c r="P88" s="278" t="s">
        <v>9</v>
      </c>
      <c r="Q88" s="190">
        <f>Q9</f>
        <v>3</v>
      </c>
      <c r="R88" s="101"/>
      <c r="S88" s="4"/>
    </row>
    <row r="89" s="2" customFormat="1" ht="3" customHeight="1" spans="1:19">
      <c r="A89" s="33"/>
      <c r="B89" s="23"/>
      <c r="C89" s="23"/>
      <c r="D89" s="23"/>
      <c r="E89" s="235"/>
      <c r="F89" s="235"/>
      <c r="G89" s="23"/>
      <c r="H89" s="23"/>
      <c r="I89" s="235"/>
      <c r="J89" s="235"/>
      <c r="K89" s="23"/>
      <c r="L89" s="23"/>
      <c r="M89" s="235"/>
      <c r="N89" s="235"/>
      <c r="O89" s="235"/>
      <c r="P89" s="139"/>
      <c r="Q89" s="189"/>
      <c r="R89" s="101"/>
      <c r="S89" s="4"/>
    </row>
    <row r="90" s="2" customFormat="1" ht="20.25" customHeight="1" spans="1:19">
      <c r="A90" s="22" t="s">
        <v>111</v>
      </c>
      <c r="B90" s="23"/>
      <c r="C90" s="23"/>
      <c r="D90" s="24"/>
      <c r="E90" s="233" t="str">
        <f>IF(E11="","",E11)</f>
        <v/>
      </c>
      <c r="F90" s="234"/>
      <c r="G90" s="27" t="s">
        <v>112</v>
      </c>
      <c r="H90" s="23"/>
      <c r="I90" s="279" t="str">
        <f>IF(I11="","",I11)</f>
        <v/>
      </c>
      <c r="J90" s="280"/>
      <c r="K90" s="136" t="s">
        <v>113</v>
      </c>
      <c r="L90" s="28"/>
      <c r="M90" s="233" t="str">
        <f>IF(M11="","",M11)</f>
        <v/>
      </c>
      <c r="N90" s="234"/>
      <c r="O90" s="235"/>
      <c r="P90" s="278" t="s">
        <v>13</v>
      </c>
      <c r="Q90" s="190">
        <f>Q11</f>
        <v>3</v>
      </c>
      <c r="R90" s="101"/>
      <c r="S90" s="4"/>
    </row>
    <row r="91" s="2" customFormat="1" ht="3" customHeight="1" spans="1:19">
      <c r="A91" s="33"/>
      <c r="B91" s="23"/>
      <c r="C91" s="23"/>
      <c r="D91" s="23"/>
      <c r="E91" s="235"/>
      <c r="F91" s="235"/>
      <c r="G91" s="23"/>
      <c r="H91" s="23"/>
      <c r="I91" s="235"/>
      <c r="J91" s="235"/>
      <c r="K91" s="30"/>
      <c r="L91" s="23"/>
      <c r="M91" s="235"/>
      <c r="N91" s="235"/>
      <c r="O91" s="235"/>
      <c r="P91" s="139"/>
      <c r="Q91" s="189"/>
      <c r="R91" s="101"/>
      <c r="S91" s="4"/>
    </row>
    <row r="92" s="2" customFormat="1" ht="18.75" customHeight="1" spans="1:19">
      <c r="A92" s="22" t="s">
        <v>114</v>
      </c>
      <c r="B92" s="23"/>
      <c r="C92" s="23"/>
      <c r="D92" s="24"/>
      <c r="E92" s="233" t="str">
        <f>IF(E13="","",E13)</f>
        <v>MM</v>
      </c>
      <c r="F92" s="234"/>
      <c r="G92" s="27" t="s">
        <v>115</v>
      </c>
      <c r="H92" s="24"/>
      <c r="I92" s="279" t="str">
        <f>IF(I13="","",I13)</f>
        <v/>
      </c>
      <c r="J92" s="140" t="s">
        <v>116</v>
      </c>
      <c r="K92" s="281"/>
      <c r="L92" s="282"/>
      <c r="M92" s="233" t="str">
        <f>IF(M13="","",M13)</f>
        <v/>
      </c>
      <c r="N92" s="234"/>
      <c r="O92" s="235"/>
      <c r="P92" s="136" t="s">
        <v>18</v>
      </c>
      <c r="Q92" s="190">
        <f>Q13</f>
        <v>10</v>
      </c>
      <c r="R92" s="101"/>
      <c r="S92" s="4"/>
    </row>
    <row r="93" s="2" customFormat="1" ht="2.25" customHeight="1" spans="1:19">
      <c r="A93" s="236"/>
      <c r="B93" s="36"/>
      <c r="C93" s="36"/>
      <c r="D93" s="36"/>
      <c r="E93" s="13"/>
      <c r="F93" s="13"/>
      <c r="G93" s="36"/>
      <c r="H93" s="36"/>
      <c r="I93" s="13"/>
      <c r="J93" s="13"/>
      <c r="K93" s="37"/>
      <c r="L93" s="37"/>
      <c r="M93" s="13"/>
      <c r="N93" s="13"/>
      <c r="O93" s="13"/>
      <c r="P93" s="37"/>
      <c r="Q93" s="191"/>
      <c r="R93" s="101"/>
      <c r="S93" s="4"/>
    </row>
    <row r="94" s="2" customFormat="1" ht="17.25" customHeight="1" spans="1:19">
      <c r="A94" s="49" t="s">
        <v>117</v>
      </c>
      <c r="B94" s="237"/>
      <c r="C94" s="237"/>
      <c r="D94" s="237"/>
      <c r="E94" s="50"/>
      <c r="F94" s="238">
        <f>I39</f>
        <v>0.341666666666667</v>
      </c>
      <c r="G94" s="239"/>
      <c r="H94" s="50"/>
      <c r="I94" s="238">
        <f>I40</f>
        <v>0.444666666666667</v>
      </c>
      <c r="J94" s="50"/>
      <c r="K94" s="239"/>
      <c r="L94" s="283">
        <f>Q38</f>
        <v>3.51111111111111</v>
      </c>
      <c r="M94" s="284"/>
      <c r="N94" s="284"/>
      <c r="O94" s="284"/>
      <c r="P94" s="284"/>
      <c r="Q94" s="334"/>
      <c r="R94" s="101"/>
      <c r="S94" s="4"/>
    </row>
    <row r="95" s="2" customFormat="1" ht="15" customHeight="1" spans="1:19">
      <c r="A95" s="240"/>
      <c r="B95" s="241"/>
      <c r="C95" s="242"/>
      <c r="D95" s="241"/>
      <c r="E95" s="243"/>
      <c r="F95" s="239"/>
      <c r="G95" s="239"/>
      <c r="H95" s="50"/>
      <c r="I95" s="30"/>
      <c r="J95" s="30"/>
      <c r="K95" s="30"/>
      <c r="L95" s="285" t="s">
        <v>118</v>
      </c>
      <c r="M95" s="286" t="s">
        <v>119</v>
      </c>
      <c r="N95" s="286"/>
      <c r="O95" s="286"/>
      <c r="P95" s="286"/>
      <c r="Q95" s="335"/>
      <c r="R95" s="101"/>
      <c r="S95" s="4"/>
    </row>
    <row r="96" s="2" customFormat="1" ht="15" customHeight="1" spans="1:19">
      <c r="A96" s="90"/>
      <c r="B96" s="244" t="s">
        <v>120</v>
      </c>
      <c r="C96" s="91"/>
      <c r="D96" s="91"/>
      <c r="E96" s="91"/>
      <c r="F96" s="91"/>
      <c r="G96" s="91"/>
      <c r="H96" s="91"/>
      <c r="I96" s="91"/>
      <c r="J96" s="91"/>
      <c r="K96" s="170"/>
      <c r="L96" s="155" t="s">
        <v>121</v>
      </c>
      <c r="M96" s="91"/>
      <c r="N96" s="91"/>
      <c r="O96" s="91"/>
      <c r="P96" s="91"/>
      <c r="Q96" s="336"/>
      <c r="R96" s="101"/>
      <c r="S96" s="4"/>
    </row>
    <row r="97" s="2" customFormat="1" ht="15.75" customHeight="1" spans="1:19">
      <c r="A97" s="29"/>
      <c r="B97" s="245" t="s">
        <v>122</v>
      </c>
      <c r="C97" s="30"/>
      <c r="D97" s="30"/>
      <c r="E97" s="30"/>
      <c r="F97" s="30"/>
      <c r="G97" s="30"/>
      <c r="H97" s="30"/>
      <c r="I97" s="63"/>
      <c r="J97" s="95"/>
      <c r="K97" s="171"/>
      <c r="L97" s="63"/>
      <c r="M97" s="63"/>
      <c r="N97" s="63"/>
      <c r="O97" s="63"/>
      <c r="P97" s="63"/>
      <c r="Q97" s="337"/>
      <c r="R97" s="101"/>
      <c r="S97" s="4"/>
    </row>
    <row r="98" s="2" customFormat="1" ht="15.75" customHeight="1" spans="1:19">
      <c r="A98" s="29"/>
      <c r="B98" s="30"/>
      <c r="C98" s="30"/>
      <c r="D98" s="246"/>
      <c r="E98" s="30"/>
      <c r="F98" s="30"/>
      <c r="G98" s="30"/>
      <c r="H98" s="30"/>
      <c r="I98" s="30"/>
      <c r="J98" s="30"/>
      <c r="K98" s="287"/>
      <c r="L98" s="30"/>
      <c r="M98" s="461" t="s">
        <v>123</v>
      </c>
      <c r="N98" s="288">
        <f>IF($M$95=$Q$55,F56,IF($M$95=$Q$56,N56,IF($M$95=$Q$57,J56,IF($M$95=Q58,L56,""))))</f>
        <v>0.176119520366144</v>
      </c>
      <c r="O98" s="288"/>
      <c r="P98" s="288"/>
      <c r="Q98" s="338"/>
      <c r="R98" s="101"/>
      <c r="S98" s="4"/>
    </row>
    <row r="99" s="2" customFormat="1" ht="18" customHeight="1" spans="1:19">
      <c r="A99" s="29"/>
      <c r="B99" s="461" t="s">
        <v>123</v>
      </c>
      <c r="C99" s="247">
        <f>IF(Q11=2,F94*K100,F94*K101)</f>
        <v>0.201856666666667</v>
      </c>
      <c r="D99" s="247"/>
      <c r="E99" s="247"/>
      <c r="F99" s="30"/>
      <c r="G99" s="30"/>
      <c r="H99" s="30"/>
      <c r="I99" s="30"/>
      <c r="J99" s="289" t="s">
        <v>13</v>
      </c>
      <c r="K99" s="290" t="s">
        <v>124</v>
      </c>
      <c r="L99" s="30"/>
      <c r="M99" s="23"/>
      <c r="N99" s="291"/>
      <c r="O99" s="291"/>
      <c r="P99" s="291"/>
      <c r="Q99" s="339"/>
      <c r="R99" s="101"/>
      <c r="S99" s="4"/>
    </row>
    <row r="100" s="2" customFormat="1" ht="18" customHeight="1" spans="1:19">
      <c r="A100" s="29"/>
      <c r="B100" s="23"/>
      <c r="C100" s="248"/>
      <c r="D100" s="30"/>
      <c r="E100" s="30"/>
      <c r="F100" s="30"/>
      <c r="G100" s="30"/>
      <c r="H100" s="30"/>
      <c r="I100" s="30"/>
      <c r="J100" s="290">
        <v>2</v>
      </c>
      <c r="K100" s="292">
        <v>0.8862</v>
      </c>
      <c r="L100" s="30"/>
      <c r="M100" s="293"/>
      <c r="N100" s="294"/>
      <c r="O100" s="294"/>
      <c r="P100" s="294"/>
      <c r="Q100" s="187"/>
      <c r="R100" s="101"/>
      <c r="S100" s="4"/>
    </row>
    <row r="101" s="2" customFormat="1" ht="18" customHeight="1" spans="1:19">
      <c r="A101" s="29"/>
      <c r="B101" s="23"/>
      <c r="C101" s="249"/>
      <c r="D101" s="30"/>
      <c r="E101" s="30"/>
      <c r="F101" s="30"/>
      <c r="G101" s="30"/>
      <c r="H101" s="30"/>
      <c r="I101" s="30"/>
      <c r="J101" s="290">
        <v>3</v>
      </c>
      <c r="K101" s="292">
        <v>0.5908</v>
      </c>
      <c r="L101" s="30"/>
      <c r="M101" s="293"/>
      <c r="N101" s="294"/>
      <c r="O101" s="294"/>
      <c r="P101" s="294"/>
      <c r="Q101" s="187"/>
      <c r="R101" s="101"/>
      <c r="S101" s="4"/>
    </row>
    <row r="102" s="2" customFormat="1" ht="15.75" customHeight="1" spans="1:19">
      <c r="A102" s="94"/>
      <c r="B102" s="250" t="s">
        <v>125</v>
      </c>
      <c r="C102" s="63"/>
      <c r="D102" s="63"/>
      <c r="E102" s="63"/>
      <c r="F102" s="63"/>
      <c r="G102" s="63"/>
      <c r="H102" s="63"/>
      <c r="I102" s="63"/>
      <c r="J102" s="30"/>
      <c r="K102" s="295"/>
      <c r="L102" s="63"/>
      <c r="M102" s="63"/>
      <c r="N102" s="63"/>
      <c r="O102" s="63"/>
      <c r="P102" s="63"/>
      <c r="Q102" s="337"/>
      <c r="R102" s="101"/>
      <c r="S102" s="4"/>
    </row>
    <row r="103" s="2" customFormat="1" ht="15.75" customHeight="1" spans="1:19">
      <c r="A103" s="29"/>
      <c r="B103" s="30"/>
      <c r="C103" s="30"/>
      <c r="D103" s="30"/>
      <c r="E103" s="30"/>
      <c r="F103" s="30"/>
      <c r="G103" s="30"/>
      <c r="H103" s="30"/>
      <c r="I103" s="30"/>
      <c r="J103" s="30"/>
      <c r="K103" s="295"/>
      <c r="L103" s="30"/>
      <c r="M103" s="461" t="s">
        <v>123</v>
      </c>
      <c r="N103" s="288">
        <f>IF($M$95=$Q$55,F57,IF($M$95=$Q$56,N57,IF($M$95=$Q$57,J57,IF($M$95=Q58,L57,""))))</f>
        <v>0.200384003548261</v>
      </c>
      <c r="O103" s="288"/>
      <c r="P103" s="288"/>
      <c r="Q103" s="338"/>
      <c r="R103" s="101"/>
      <c r="S103" s="4"/>
    </row>
    <row r="104" s="2" customFormat="1" ht="18" customHeight="1" spans="1:19">
      <c r="A104" s="29"/>
      <c r="B104" s="461" t="s">
        <v>123</v>
      </c>
      <c r="C104" s="247">
        <f>IF(Q9=2,IF(POWER(I94*K105,2)-(POWER(C99,2)/Q92/Q90)&gt;0,SQRT((POWER(I94*K105,2)-(POWER(C99,2)/Q90/Q92))),0),IF(POWER(I94*K106,2)-(POWER(C99,2)/Q90/Q92)&gt;0,SQRT((POWER(I94*K106,2)-(POWER(C99,2)/Q90/Q92))),0))</f>
        <v>0.229667029103204</v>
      </c>
      <c r="D104" s="247" t="e">
        <f>IF(POWER(D103*E103,2)-(POWER(F103,2)/G103/H103)&gt;0,POWER((POWER(D103*E103,2)-(POWER(F103,2)/G103/H103)),0.5),0)</f>
        <v>#DIV/0!</v>
      </c>
      <c r="E104" s="247" t="e">
        <f>IF(POWER(E103*F103,2)-(POWER(G103,2)/H103/I103)&gt;0,POWER((POWER(E103*F103,2)-(POWER(G103,2)/H103/I103)),0.5),0)</f>
        <v>#DIV/0!</v>
      </c>
      <c r="F104" s="10"/>
      <c r="G104" s="251"/>
      <c r="H104" s="251"/>
      <c r="I104" s="296"/>
      <c r="J104" s="289" t="s">
        <v>126</v>
      </c>
      <c r="K104" s="292" t="s">
        <v>127</v>
      </c>
      <c r="L104" s="30"/>
      <c r="M104" s="23"/>
      <c r="N104" s="291"/>
      <c r="O104" s="291"/>
      <c r="P104" s="291"/>
      <c r="Q104" s="187"/>
      <c r="R104" s="101"/>
      <c r="S104" s="4"/>
    </row>
    <row r="105" s="2" customFormat="1" ht="18" customHeight="1" spans="1:19">
      <c r="A105" s="29"/>
      <c r="B105" s="23"/>
      <c r="C105" s="248"/>
      <c r="D105" s="30"/>
      <c r="E105" s="30"/>
      <c r="F105" s="30"/>
      <c r="G105" s="30"/>
      <c r="H105" s="30"/>
      <c r="I105" s="296"/>
      <c r="J105" s="290">
        <v>2</v>
      </c>
      <c r="K105" s="292">
        <v>0.7071</v>
      </c>
      <c r="L105" s="30"/>
      <c r="M105" s="30"/>
      <c r="N105" s="30"/>
      <c r="O105" s="30"/>
      <c r="P105" s="30"/>
      <c r="Q105" s="187"/>
      <c r="R105" s="101"/>
      <c r="S105" s="4"/>
    </row>
    <row r="106" s="2" customFormat="1" ht="18" customHeight="1" spans="1:19">
      <c r="A106" s="29"/>
      <c r="B106" s="23"/>
      <c r="C106" s="249"/>
      <c r="D106" s="30"/>
      <c r="E106" s="50"/>
      <c r="F106" s="50"/>
      <c r="G106" s="50"/>
      <c r="H106" s="50"/>
      <c r="I106" s="237"/>
      <c r="J106" s="290">
        <v>3</v>
      </c>
      <c r="K106" s="292">
        <v>0.5231</v>
      </c>
      <c r="L106" s="50"/>
      <c r="M106" s="50"/>
      <c r="N106" s="50"/>
      <c r="O106" s="50"/>
      <c r="P106" s="50"/>
      <c r="Q106" s="340"/>
      <c r="R106" s="101"/>
      <c r="S106" s="4"/>
    </row>
    <row r="107" s="2" customFormat="1" ht="15.75" customHeight="1" spans="1:19">
      <c r="A107" s="94"/>
      <c r="B107" s="250" t="s">
        <v>128</v>
      </c>
      <c r="C107" s="63"/>
      <c r="D107" s="63"/>
      <c r="E107" s="30"/>
      <c r="F107" s="30"/>
      <c r="G107" s="30"/>
      <c r="H107" s="30"/>
      <c r="I107" s="30"/>
      <c r="J107" s="30"/>
      <c r="K107" s="297"/>
      <c r="L107" s="298"/>
      <c r="M107" s="30"/>
      <c r="N107" s="30"/>
      <c r="O107" s="30"/>
      <c r="P107" s="30"/>
      <c r="Q107" s="187"/>
      <c r="R107" s="101"/>
      <c r="S107" s="4"/>
    </row>
    <row r="108" s="2" customFormat="1" ht="15.75" customHeight="1" spans="1:19">
      <c r="A108" s="29"/>
      <c r="B108" s="30"/>
      <c r="C108" s="30"/>
      <c r="D108" s="30"/>
      <c r="E108" s="30"/>
      <c r="F108" s="252"/>
      <c r="G108" s="252"/>
      <c r="H108" s="252"/>
      <c r="I108" s="30"/>
      <c r="J108" s="289" t="s">
        <v>129</v>
      </c>
      <c r="K108" s="292" t="s">
        <v>130</v>
      </c>
      <c r="L108" s="30"/>
      <c r="M108" s="461" t="s">
        <v>123</v>
      </c>
      <c r="N108" s="288">
        <f>IF($M$95=$Q$55,F58,IF($M$95=$Q$56,N58,IF($M$95=$Q$57,J58,IF($M$95=Q58,L58,""))))</f>
        <v>0.266780498410267</v>
      </c>
      <c r="O108" s="288"/>
      <c r="P108" s="288"/>
      <c r="Q108" s="338"/>
      <c r="R108" s="101"/>
      <c r="S108" s="4"/>
    </row>
    <row r="109" s="2" customFormat="1" ht="18" customHeight="1" spans="1:19">
      <c r="A109" s="29"/>
      <c r="B109" s="461" t="s">
        <v>123</v>
      </c>
      <c r="C109" s="247">
        <f>SQRT(POWER(C99,2)+POWER(C104,2))</f>
        <v>0.305766345654439</v>
      </c>
      <c r="D109" s="247"/>
      <c r="E109" s="247"/>
      <c r="F109" s="251"/>
      <c r="G109" s="251"/>
      <c r="H109" s="251"/>
      <c r="I109" s="30"/>
      <c r="J109" s="290">
        <v>3</v>
      </c>
      <c r="K109" s="299">
        <v>0.5231</v>
      </c>
      <c r="L109" s="30"/>
      <c r="M109" s="23"/>
      <c r="N109" s="291"/>
      <c r="O109" s="291"/>
      <c r="P109" s="291"/>
      <c r="Q109" s="341"/>
      <c r="R109" s="101"/>
      <c r="S109" s="4"/>
    </row>
    <row r="110" s="2" customFormat="1" ht="18" customHeight="1" spans="1:19">
      <c r="A110" s="29"/>
      <c r="B110" s="23"/>
      <c r="C110" s="249"/>
      <c r="D110" s="30"/>
      <c r="E110" s="30"/>
      <c r="F110" s="30"/>
      <c r="G110" s="30"/>
      <c r="H110" s="30"/>
      <c r="I110" s="30"/>
      <c r="J110" s="290">
        <v>4</v>
      </c>
      <c r="K110" s="299">
        <v>0.4467</v>
      </c>
      <c r="L110" s="298"/>
      <c r="M110" s="30"/>
      <c r="N110" s="30"/>
      <c r="O110" s="30"/>
      <c r="P110" s="30"/>
      <c r="Q110" s="187"/>
      <c r="R110" s="101"/>
      <c r="S110" s="4"/>
    </row>
    <row r="111" s="2" customFormat="1" ht="18" customHeight="1" spans="1:19">
      <c r="A111" s="29"/>
      <c r="B111" s="23"/>
      <c r="C111" s="249"/>
      <c r="D111" s="30"/>
      <c r="E111" s="30"/>
      <c r="F111" s="30"/>
      <c r="G111" s="30"/>
      <c r="H111" s="30"/>
      <c r="I111" s="51"/>
      <c r="J111" s="290">
        <v>5</v>
      </c>
      <c r="K111" s="299">
        <v>0.4043</v>
      </c>
      <c r="L111" s="300"/>
      <c r="M111" s="50"/>
      <c r="N111" s="50"/>
      <c r="O111" s="50"/>
      <c r="P111" s="50"/>
      <c r="Q111" s="340"/>
      <c r="R111" s="101"/>
      <c r="S111" s="4"/>
    </row>
    <row r="112" s="2" customFormat="1" ht="15.75" customHeight="1" spans="1:19">
      <c r="A112" s="94"/>
      <c r="B112" s="250" t="s">
        <v>131</v>
      </c>
      <c r="C112" s="63"/>
      <c r="D112" s="63"/>
      <c r="E112" s="63"/>
      <c r="F112" s="63"/>
      <c r="G112" s="253"/>
      <c r="H112" s="253"/>
      <c r="I112" s="301"/>
      <c r="J112" s="290">
        <v>6</v>
      </c>
      <c r="K112" s="299">
        <v>0.3742</v>
      </c>
      <c r="L112" s="30"/>
      <c r="M112" s="30"/>
      <c r="N112" s="30"/>
      <c r="O112" s="30"/>
      <c r="P112" s="30"/>
      <c r="Q112" s="187"/>
      <c r="R112" s="101"/>
      <c r="S112" s="4"/>
    </row>
    <row r="113" s="2" customFormat="1" ht="15.75" customHeight="1" spans="1:19">
      <c r="A113" s="29"/>
      <c r="B113" s="30"/>
      <c r="C113" s="30"/>
      <c r="D113" s="246"/>
      <c r="E113" s="30"/>
      <c r="F113" s="30"/>
      <c r="G113" s="254" t="s">
        <v>132</v>
      </c>
      <c r="H113" s="255"/>
      <c r="I113" s="302"/>
      <c r="J113" s="290">
        <v>7</v>
      </c>
      <c r="K113" s="299">
        <v>0.3534</v>
      </c>
      <c r="L113" s="30"/>
      <c r="M113" s="461" t="s">
        <v>123</v>
      </c>
      <c r="N113" s="288">
        <f>IF($M$95=$Q$55,F59,IF($M$95=$Q$56,N59,IF($M$95=$Q$57,J59,IF($M$95=Q58,L59,""))))</f>
        <v>0.963757316790887</v>
      </c>
      <c r="O113" s="288"/>
      <c r="P113" s="288"/>
      <c r="Q113" s="338"/>
      <c r="R113" s="101"/>
      <c r="S113" s="4"/>
    </row>
    <row r="114" s="2" customFormat="1" ht="15.75" customHeight="1" spans="1:19">
      <c r="A114" s="29"/>
      <c r="B114" s="461" t="s">
        <v>123</v>
      </c>
      <c r="C114" s="247">
        <f>IF(G113=Q59,Q38*K116,SQRT(C119^2-C109^2))</f>
        <v>1.10459555555556</v>
      </c>
      <c r="D114" s="247"/>
      <c r="E114" s="247"/>
      <c r="F114" s="30"/>
      <c r="G114" s="256"/>
      <c r="H114" s="256"/>
      <c r="I114" s="302"/>
      <c r="J114" s="290">
        <v>8</v>
      </c>
      <c r="K114" s="299">
        <v>0.3375</v>
      </c>
      <c r="L114" s="30"/>
      <c r="M114" s="23"/>
      <c r="N114" s="291"/>
      <c r="O114" s="291"/>
      <c r="P114" s="291"/>
      <c r="Q114" s="187"/>
      <c r="R114" s="101"/>
      <c r="S114" s="4"/>
    </row>
    <row r="115" s="2" customFormat="1" ht="15.75" customHeight="1" spans="1:19">
      <c r="A115" s="29"/>
      <c r="B115" s="23"/>
      <c r="C115" s="249"/>
      <c r="D115" s="30"/>
      <c r="E115" s="30"/>
      <c r="F115" s="30"/>
      <c r="G115" s="257"/>
      <c r="H115" s="257"/>
      <c r="I115" s="303"/>
      <c r="J115" s="290">
        <v>9</v>
      </c>
      <c r="K115" s="299">
        <v>0.3249</v>
      </c>
      <c r="L115" s="298"/>
      <c r="M115" s="304"/>
      <c r="N115" s="304"/>
      <c r="O115" s="304"/>
      <c r="P115" s="304"/>
      <c r="Q115" s="187"/>
      <c r="R115" s="101"/>
      <c r="S115" s="4"/>
    </row>
    <row r="116" s="2" customFormat="1" ht="15.75" customHeight="1" spans="1:19">
      <c r="A116" s="29"/>
      <c r="B116" s="23"/>
      <c r="C116" s="249"/>
      <c r="D116" s="30"/>
      <c r="E116" s="50"/>
      <c r="F116" s="50"/>
      <c r="G116" s="258"/>
      <c r="H116" s="258"/>
      <c r="I116" s="305"/>
      <c r="J116" s="290">
        <v>10</v>
      </c>
      <c r="K116" s="299">
        <v>0.3146</v>
      </c>
      <c r="L116" s="300"/>
      <c r="M116" s="306"/>
      <c r="N116" s="306"/>
      <c r="O116" s="306"/>
      <c r="P116" s="306"/>
      <c r="Q116" s="340"/>
      <c r="R116" s="101"/>
      <c r="S116" s="4"/>
    </row>
    <row r="117" s="2" customFormat="1" ht="15.75" customHeight="1" spans="1:19">
      <c r="A117" s="94"/>
      <c r="B117" s="250" t="s">
        <v>133</v>
      </c>
      <c r="C117" s="63"/>
      <c r="D117" s="63"/>
      <c r="E117" s="30"/>
      <c r="F117" s="30"/>
      <c r="G117" s="30"/>
      <c r="H117" s="30"/>
      <c r="I117" s="30"/>
      <c r="J117" s="30"/>
      <c r="K117" s="307"/>
      <c r="L117" s="308" t="s">
        <v>134</v>
      </c>
      <c r="M117" s="309"/>
      <c r="N117" s="309"/>
      <c r="O117" s="309"/>
      <c r="P117" s="309"/>
      <c r="Q117" s="342"/>
      <c r="R117" s="101"/>
      <c r="S117" s="4"/>
    </row>
    <row r="118" s="2" customFormat="1" ht="15.75" customHeight="1" spans="1:19">
      <c r="A118" s="29"/>
      <c r="B118" s="30"/>
      <c r="C118" s="30"/>
      <c r="D118" s="259"/>
      <c r="E118" s="30"/>
      <c r="F118" s="30"/>
      <c r="G118" s="30"/>
      <c r="H118" s="260" t="s">
        <v>135</v>
      </c>
      <c r="I118" s="34"/>
      <c r="J118" s="34"/>
      <c r="K118" s="310"/>
      <c r="L118" s="30"/>
      <c r="M118" s="461" t="s">
        <v>136</v>
      </c>
      <c r="N118" s="311">
        <f>IF($M$95&lt;&gt;0,ROUND(1.41*C114/C109,0),"")</f>
        <v>5</v>
      </c>
      <c r="O118" s="311"/>
      <c r="P118" s="311"/>
      <c r="Q118" s="343"/>
      <c r="R118" s="101"/>
      <c r="S118" s="4"/>
    </row>
    <row r="119" s="2" customFormat="1" ht="15.75" customHeight="1" spans="1:19">
      <c r="A119" s="29"/>
      <c r="B119" s="23" t="s">
        <v>136</v>
      </c>
      <c r="C119" s="247">
        <f>IF($M$95=$Q$55,F55,IF($M$95=$Q$56,N55,IF($M$95=$Q$57,J55,IF($M$95=Q58,L55,""))))</f>
        <v>1.14613454685214</v>
      </c>
      <c r="D119" s="247"/>
      <c r="E119" s="247"/>
      <c r="F119" s="252"/>
      <c r="G119" s="252"/>
      <c r="H119" s="260" t="s">
        <v>137</v>
      </c>
      <c r="I119" s="34"/>
      <c r="J119" s="34"/>
      <c r="K119" s="310"/>
      <c r="L119" s="30"/>
      <c r="M119" s="23"/>
      <c r="N119" s="312"/>
      <c r="O119" s="312"/>
      <c r="P119" s="312"/>
      <c r="Q119" s="187"/>
      <c r="R119" s="101"/>
      <c r="S119" s="4"/>
    </row>
    <row r="120" s="2" customFormat="1" ht="15.75" customHeight="1" spans="1:19">
      <c r="A120" s="29"/>
      <c r="B120" s="23"/>
      <c r="C120" s="249"/>
      <c r="D120" s="259"/>
      <c r="E120" s="30"/>
      <c r="F120" s="252"/>
      <c r="G120" s="252"/>
      <c r="H120" s="260" t="s">
        <v>138</v>
      </c>
      <c r="I120" s="34"/>
      <c r="J120" s="34"/>
      <c r="K120" s="310"/>
      <c r="L120" s="30"/>
      <c r="M120" s="313"/>
      <c r="N120" s="313"/>
      <c r="O120" s="313"/>
      <c r="P120" s="313"/>
      <c r="Q120" s="187"/>
      <c r="R120" s="101"/>
      <c r="S120" s="4"/>
    </row>
    <row r="121" s="2" customFormat="1" ht="15.75" customHeight="1" spans="1:19">
      <c r="A121" s="29"/>
      <c r="B121" s="23"/>
      <c r="C121" s="249"/>
      <c r="D121" s="259"/>
      <c r="E121" s="30"/>
      <c r="F121" s="252"/>
      <c r="G121" s="252"/>
      <c r="H121" s="260" t="s">
        <v>69</v>
      </c>
      <c r="I121" s="34"/>
      <c r="J121" s="34"/>
      <c r="K121" s="310"/>
      <c r="L121" s="30"/>
      <c r="M121" s="30"/>
      <c r="N121" s="30"/>
      <c r="O121" s="30"/>
      <c r="P121" s="30"/>
      <c r="Q121" s="187"/>
      <c r="R121" s="101"/>
      <c r="S121" s="4"/>
    </row>
    <row r="122" s="2" customFormat="1" ht="15.75" customHeight="1" spans="1:19">
      <c r="A122" s="94"/>
      <c r="B122" s="250" t="s">
        <v>139</v>
      </c>
      <c r="C122" s="63"/>
      <c r="D122" s="63"/>
      <c r="E122" s="63"/>
      <c r="F122" s="63"/>
      <c r="G122" s="63"/>
      <c r="H122" s="63"/>
      <c r="I122" s="63"/>
      <c r="J122" s="63"/>
      <c r="K122" s="307"/>
      <c r="L122" s="63"/>
      <c r="M122" s="63"/>
      <c r="N122" s="63"/>
      <c r="O122" s="63"/>
      <c r="P122" s="63"/>
      <c r="Q122" s="337"/>
      <c r="R122" s="101"/>
      <c r="S122" s="4"/>
    </row>
    <row r="123" s="2" customFormat="1" ht="15.75" customHeight="1" spans="1:19">
      <c r="A123" s="261" t="s">
        <v>140</v>
      </c>
      <c r="B123" s="262"/>
      <c r="C123" s="262"/>
      <c r="D123" s="262"/>
      <c r="E123" s="262"/>
      <c r="F123" s="262"/>
      <c r="G123" s="262"/>
      <c r="H123" s="262"/>
      <c r="I123" s="262"/>
      <c r="J123" s="262"/>
      <c r="K123" s="314"/>
      <c r="L123" s="315" t="s">
        <v>141</v>
      </c>
      <c r="M123" s="316"/>
      <c r="N123" s="317" t="str">
        <f>IF(M95&lt;&gt;0,IF(N118&gt;=5,IF(N108&lt;0.1,"良好Excellent",IF(N108&gt;0.3,"需改善Must be improved","可接收Accepted")),"需改善Must be improved"),"")</f>
        <v>可接收Accepted</v>
      </c>
      <c r="O123" s="317"/>
      <c r="P123" s="317"/>
      <c r="Q123" s="187"/>
      <c r="R123" s="101"/>
      <c r="S123" s="4"/>
    </row>
    <row r="124" s="2" customFormat="1" ht="15.75" customHeight="1" spans="1:19">
      <c r="A124" s="263" t="s">
        <v>142</v>
      </c>
      <c r="B124" s="264"/>
      <c r="C124" s="264"/>
      <c r="D124" s="264"/>
      <c r="E124" s="264"/>
      <c r="F124" s="264"/>
      <c r="G124" s="264"/>
      <c r="H124" s="264"/>
      <c r="I124" s="264"/>
      <c r="J124" s="264"/>
      <c r="K124" s="318"/>
      <c r="L124" s="319"/>
      <c r="M124" s="316"/>
      <c r="N124" s="317"/>
      <c r="O124" s="317"/>
      <c r="P124" s="317"/>
      <c r="Q124" s="187"/>
      <c r="R124" s="101"/>
      <c r="S124" s="4"/>
    </row>
    <row r="125" s="2" customFormat="1" ht="13.5" customHeight="1" spans="1:19">
      <c r="A125" s="261" t="s">
        <v>143</v>
      </c>
      <c r="B125" s="262"/>
      <c r="C125" s="262"/>
      <c r="D125" s="262"/>
      <c r="E125" s="262"/>
      <c r="F125" s="262"/>
      <c r="G125" s="262"/>
      <c r="H125" s="262"/>
      <c r="I125" s="262"/>
      <c r="J125" s="262"/>
      <c r="K125" s="314"/>
      <c r="L125" s="316" t="str">
        <f>IF(N123="需改善","备注：","")</f>
        <v/>
      </c>
      <c r="M125" s="320" t="str">
        <f>IF(AND(E95&lt;&gt;0,M95&lt;&gt;0),IF(N123="需改善",J76,""),"")</f>
        <v/>
      </c>
      <c r="N125" s="320"/>
      <c r="O125" s="320"/>
      <c r="P125" s="320"/>
      <c r="Q125" s="344"/>
      <c r="R125" s="101"/>
      <c r="S125" s="4"/>
    </row>
    <row r="126" s="2" customFormat="1" ht="22.5" customHeight="1" spans="1:19">
      <c r="A126" s="265" t="s">
        <v>144</v>
      </c>
      <c r="B126" s="266"/>
      <c r="C126" s="266"/>
      <c r="D126" s="266"/>
      <c r="E126" s="266"/>
      <c r="F126" s="266"/>
      <c r="G126" s="266"/>
      <c r="H126" s="266"/>
      <c r="I126" s="266"/>
      <c r="J126" s="266"/>
      <c r="K126" s="321"/>
      <c r="L126" s="50"/>
      <c r="M126" s="322"/>
      <c r="N126" s="322"/>
      <c r="O126" s="322"/>
      <c r="P126" s="322"/>
      <c r="Q126" s="345"/>
      <c r="R126" s="101"/>
      <c r="S126" s="4"/>
    </row>
    <row r="127" s="2" customFormat="1" ht="21.75" customHeight="1" spans="1:19">
      <c r="A127" s="267" t="s">
        <v>145</v>
      </c>
      <c r="B127" s="268"/>
      <c r="C127" s="268"/>
      <c r="D127" s="269"/>
      <c r="E127" s="270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346"/>
      <c r="R127" s="101"/>
      <c r="S127" s="4"/>
    </row>
    <row r="128" s="2" customFormat="1" ht="21.75" customHeight="1" spans="1:19">
      <c r="A128" s="272"/>
      <c r="B128" s="44"/>
      <c r="C128" s="44"/>
      <c r="D128" s="273"/>
      <c r="E128" s="270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346"/>
      <c r="R128" s="101"/>
      <c r="S128" s="4"/>
    </row>
    <row r="129" s="2" customFormat="1" ht="21.75" customHeight="1" spans="1:19">
      <c r="A129" s="347"/>
      <c r="B129" s="348"/>
      <c r="C129" s="348"/>
      <c r="D129" s="349"/>
      <c r="E129" s="350"/>
      <c r="F129" s="351"/>
      <c r="G129" s="351"/>
      <c r="H129" s="351"/>
      <c r="I129" s="351"/>
      <c r="J129" s="351"/>
      <c r="K129" s="351"/>
      <c r="L129" s="351"/>
      <c r="M129" s="351"/>
      <c r="N129" s="351"/>
      <c r="O129" s="351"/>
      <c r="P129" s="351"/>
      <c r="Q129" s="423"/>
      <c r="R129" s="101"/>
      <c r="S129" s="4"/>
    </row>
    <row r="130" s="2" customFormat="1" ht="27" customHeight="1" spans="1:19">
      <c r="A130" s="352"/>
      <c r="B130" s="13"/>
      <c r="C130" s="353" t="s">
        <v>146</v>
      </c>
      <c r="D130" s="13"/>
      <c r="E130" s="354"/>
      <c r="F130" s="354"/>
      <c r="G130" s="354"/>
      <c r="H130" s="355" t="s">
        <v>147</v>
      </c>
      <c r="I130" s="380"/>
      <c r="J130" s="354"/>
      <c r="K130" s="354"/>
      <c r="L130" s="354"/>
      <c r="M130" s="354"/>
      <c r="N130" s="354"/>
      <c r="O130" s="354"/>
      <c r="P130" s="354"/>
      <c r="Q130" s="424"/>
      <c r="R130" s="101"/>
      <c r="S130" s="4"/>
    </row>
    <row r="131" s="2" customFormat="1" ht="3" customHeight="1" spans="1:19">
      <c r="A131" s="111"/>
      <c r="B131" s="111"/>
      <c r="C131" s="111"/>
      <c r="D131" s="111"/>
      <c r="E131" s="356"/>
      <c r="F131" s="356"/>
      <c r="G131" s="356"/>
      <c r="H131" s="111"/>
      <c r="I131" s="111"/>
      <c r="J131" s="111"/>
      <c r="K131" s="111"/>
      <c r="L131" s="111"/>
      <c r="M131" s="111"/>
      <c r="N131" s="111"/>
      <c r="O131" s="111"/>
      <c r="P131" s="111"/>
      <c r="Q131" s="111"/>
      <c r="R131" s="101"/>
      <c r="S131" s="4"/>
    </row>
    <row r="132" s="2" customFormat="1" hidden="1" customHeight="1" spans="1:19">
      <c r="A132" s="111"/>
      <c r="B132" s="111"/>
      <c r="C132" s="111"/>
      <c r="D132" s="111"/>
      <c r="E132" s="111"/>
      <c r="F132" s="111"/>
      <c r="G132" s="111"/>
      <c r="H132" s="111"/>
      <c r="I132" s="111"/>
      <c r="J132" s="111"/>
      <c r="K132" s="111"/>
      <c r="L132" s="111"/>
      <c r="M132" s="111"/>
      <c r="N132" s="111"/>
      <c r="O132" s="111"/>
      <c r="P132" s="111"/>
      <c r="Q132" s="111"/>
      <c r="R132" s="101"/>
      <c r="S132" s="4"/>
    </row>
    <row r="133" s="2" customFormat="1" hidden="1" customHeight="1" spans="1:19">
      <c r="A133" s="111"/>
      <c r="B133" s="111"/>
      <c r="C133" s="111"/>
      <c r="D133" s="111"/>
      <c r="E133" s="111"/>
      <c r="F133" s="111"/>
      <c r="G133" s="111"/>
      <c r="H133" s="111"/>
      <c r="I133" s="111"/>
      <c r="J133" s="111"/>
      <c r="K133" s="111"/>
      <c r="L133" s="111"/>
      <c r="M133" s="111"/>
      <c r="N133" s="111"/>
      <c r="O133" s="111"/>
      <c r="P133" s="111"/>
      <c r="Q133" s="111"/>
      <c r="R133" s="101"/>
      <c r="S133" s="4"/>
    </row>
    <row r="134" s="2" customFormat="1" hidden="1" customHeight="1" spans="1:19">
      <c r="A134" s="111"/>
      <c r="B134" s="111"/>
      <c r="C134" s="111"/>
      <c r="D134" s="111"/>
      <c r="E134" s="111"/>
      <c r="F134" s="111"/>
      <c r="G134" s="111"/>
      <c r="H134" s="111"/>
      <c r="I134" s="111"/>
      <c r="J134" s="111"/>
      <c r="K134" s="111"/>
      <c r="L134" s="111"/>
      <c r="M134" s="111"/>
      <c r="N134" s="111"/>
      <c r="O134" s="111"/>
      <c r="P134" s="111"/>
      <c r="Q134" s="111"/>
      <c r="R134" s="101"/>
      <c r="S134" s="4"/>
    </row>
    <row r="135" s="2" customFormat="1" hidden="1" customHeight="1" spans="1:19">
      <c r="A135" s="111"/>
      <c r="B135" s="111"/>
      <c r="C135" s="111"/>
      <c r="D135" s="111"/>
      <c r="E135" s="111"/>
      <c r="F135" s="111"/>
      <c r="G135" s="111"/>
      <c r="H135" s="111"/>
      <c r="I135" s="111"/>
      <c r="J135" s="111"/>
      <c r="K135" s="111"/>
      <c r="L135" s="111"/>
      <c r="M135" s="111"/>
      <c r="N135" s="111"/>
      <c r="O135" s="111"/>
      <c r="P135" s="111"/>
      <c r="Q135" s="111"/>
      <c r="R135" s="101"/>
      <c r="S135" s="4"/>
    </row>
    <row r="136" s="2" customFormat="1" hidden="1" customHeight="1" spans="1:19">
      <c r="A136" s="111"/>
      <c r="B136" s="111"/>
      <c r="C136" s="111"/>
      <c r="D136" s="111"/>
      <c r="E136" s="111"/>
      <c r="F136" s="111"/>
      <c r="G136" s="111"/>
      <c r="H136" s="111"/>
      <c r="I136" s="111"/>
      <c r="J136" s="111"/>
      <c r="K136" s="111"/>
      <c r="L136" s="111"/>
      <c r="M136" s="111"/>
      <c r="N136" s="111"/>
      <c r="O136" s="111"/>
      <c r="P136" s="111"/>
      <c r="Q136" s="111"/>
      <c r="R136" s="101"/>
      <c r="S136" s="4"/>
    </row>
    <row r="137" s="2" customFormat="1" hidden="1" customHeight="1" spans="1:19">
      <c r="A137" s="111"/>
      <c r="B137" s="111"/>
      <c r="C137" s="111"/>
      <c r="D137" s="111"/>
      <c r="E137" s="111"/>
      <c r="F137" s="111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01"/>
      <c r="S137" s="4"/>
    </row>
    <row r="138" s="2" customFormat="1" hidden="1" customHeight="1" spans="1:19">
      <c r="A138" s="111"/>
      <c r="B138" s="111"/>
      <c r="C138" s="111"/>
      <c r="D138" s="111"/>
      <c r="E138" s="111"/>
      <c r="F138" s="111"/>
      <c r="G138" s="111"/>
      <c r="H138" s="111"/>
      <c r="I138" s="111"/>
      <c r="J138" s="111"/>
      <c r="K138" s="111"/>
      <c r="L138" s="111"/>
      <c r="M138" s="111"/>
      <c r="N138" s="111"/>
      <c r="O138" s="111"/>
      <c r="P138" s="111"/>
      <c r="Q138" s="111"/>
      <c r="R138" s="101"/>
      <c r="S138" s="4"/>
    </row>
    <row r="139" s="2" customFormat="1" hidden="1" customHeight="1" spans="1:19">
      <c r="A139" s="111"/>
      <c r="B139" s="111"/>
      <c r="C139" s="111"/>
      <c r="D139" s="111"/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01"/>
      <c r="S139" s="4"/>
    </row>
    <row r="140" s="2" customFormat="1" hidden="1" customHeight="1" spans="1:19">
      <c r="A140" s="111"/>
      <c r="B140" s="111"/>
      <c r="C140" s="111"/>
      <c r="D140" s="111"/>
      <c r="E140" s="111"/>
      <c r="F140" s="111"/>
      <c r="G140" s="111"/>
      <c r="H140" s="111"/>
      <c r="I140" s="111"/>
      <c r="J140" s="111"/>
      <c r="K140" s="111"/>
      <c r="L140" s="111"/>
      <c r="M140" s="111"/>
      <c r="N140" s="111"/>
      <c r="O140" s="111"/>
      <c r="P140" s="111"/>
      <c r="Q140" s="111"/>
      <c r="R140" s="101"/>
      <c r="S140" s="4"/>
    </row>
    <row r="141" s="2" customFormat="1" hidden="1" customHeight="1" spans="1:19">
      <c r="A141" s="111"/>
      <c r="B141" s="111"/>
      <c r="C141" s="111"/>
      <c r="D141" s="111"/>
      <c r="E141" s="111"/>
      <c r="F141" s="111"/>
      <c r="G141" s="111"/>
      <c r="H141" s="111"/>
      <c r="I141" s="111"/>
      <c r="J141" s="111"/>
      <c r="K141" s="111"/>
      <c r="L141" s="111"/>
      <c r="M141" s="111"/>
      <c r="N141" s="111"/>
      <c r="O141" s="111"/>
      <c r="P141" s="111"/>
      <c r="Q141" s="111"/>
      <c r="R141" s="101"/>
      <c r="S141" s="4"/>
    </row>
    <row r="142" s="2" customFormat="1" hidden="1" customHeight="1" spans="1:19">
      <c r="A142" s="111"/>
      <c r="B142" s="111"/>
      <c r="C142" s="111"/>
      <c r="D142" s="111"/>
      <c r="E142" s="111"/>
      <c r="F142" s="111"/>
      <c r="G142" s="111"/>
      <c r="H142" s="111"/>
      <c r="I142" s="111"/>
      <c r="J142" s="111"/>
      <c r="K142" s="111"/>
      <c r="L142" s="111"/>
      <c r="M142" s="111"/>
      <c r="N142" s="111"/>
      <c r="O142" s="111"/>
      <c r="P142" s="111"/>
      <c r="Q142" s="111"/>
      <c r="R142" s="101"/>
      <c r="S142" s="4"/>
    </row>
    <row r="143" s="2" customFormat="1" hidden="1" customHeight="1" spans="1:19">
      <c r="A143" s="111"/>
      <c r="B143" s="111"/>
      <c r="C143" s="111"/>
      <c r="D143" s="111"/>
      <c r="E143" s="111"/>
      <c r="F143" s="111"/>
      <c r="G143" s="111"/>
      <c r="H143" s="111"/>
      <c r="I143" s="111"/>
      <c r="J143" s="111"/>
      <c r="K143" s="111"/>
      <c r="L143" s="111"/>
      <c r="M143" s="111"/>
      <c r="N143" s="111"/>
      <c r="O143" s="111"/>
      <c r="P143" s="111"/>
      <c r="Q143" s="111"/>
      <c r="R143" s="101"/>
      <c r="S143" s="4"/>
    </row>
    <row r="144" s="2" customFormat="1" hidden="1" customHeight="1" spans="1:19">
      <c r="A144" s="111"/>
      <c r="B144" s="111"/>
      <c r="C144" s="111"/>
      <c r="D144" s="111"/>
      <c r="E144" s="111"/>
      <c r="F144" s="111"/>
      <c r="G144" s="111"/>
      <c r="H144" s="111"/>
      <c r="I144" s="111"/>
      <c r="J144" s="111"/>
      <c r="K144" s="111"/>
      <c r="L144" s="111"/>
      <c r="M144" s="111"/>
      <c r="N144" s="111"/>
      <c r="O144" s="111"/>
      <c r="P144" s="111"/>
      <c r="Q144" s="111"/>
      <c r="R144" s="101"/>
      <c r="S144" s="4"/>
    </row>
    <row r="145" s="2" customFormat="1" hidden="1" customHeight="1" spans="1:19">
      <c r="A145" s="111"/>
      <c r="B145" s="111"/>
      <c r="C145" s="111"/>
      <c r="D145" s="111"/>
      <c r="E145" s="111"/>
      <c r="F145" s="111"/>
      <c r="G145" s="111"/>
      <c r="H145" s="111"/>
      <c r="I145" s="111"/>
      <c r="J145" s="111"/>
      <c r="K145" s="111"/>
      <c r="L145" s="111"/>
      <c r="M145" s="111"/>
      <c r="N145" s="111"/>
      <c r="O145" s="111"/>
      <c r="P145" s="111"/>
      <c r="Q145" s="111"/>
      <c r="R145" s="101"/>
      <c r="S145" s="4"/>
    </row>
    <row r="146" s="2" customFormat="1" hidden="1" customHeight="1" spans="1:19">
      <c r="A146" s="111"/>
      <c r="B146" s="111"/>
      <c r="C146" s="111"/>
      <c r="D146" s="111"/>
      <c r="E146" s="111"/>
      <c r="F146" s="111"/>
      <c r="G146" s="111"/>
      <c r="H146" s="111"/>
      <c r="I146" s="111"/>
      <c r="J146" s="111"/>
      <c r="K146" s="111"/>
      <c r="L146" s="111"/>
      <c r="M146" s="111"/>
      <c r="N146" s="111"/>
      <c r="O146" s="111"/>
      <c r="P146" s="111"/>
      <c r="Q146" s="111"/>
      <c r="R146" s="101"/>
      <c r="S146" s="4"/>
    </row>
    <row r="147" s="2" customFormat="1" hidden="1" customHeight="1" spans="1:19">
      <c r="A147" s="111"/>
      <c r="B147" s="111"/>
      <c r="C147" s="111"/>
      <c r="D147" s="111"/>
      <c r="E147" s="111"/>
      <c r="F147" s="111"/>
      <c r="G147" s="111"/>
      <c r="H147" s="111"/>
      <c r="I147" s="111"/>
      <c r="J147" s="111"/>
      <c r="K147" s="111"/>
      <c r="L147" s="111"/>
      <c r="M147" s="111"/>
      <c r="N147" s="111"/>
      <c r="O147" s="111"/>
      <c r="P147" s="111"/>
      <c r="Q147" s="111"/>
      <c r="R147" s="101"/>
      <c r="S147" s="4"/>
    </row>
    <row r="148" s="2" customFormat="1" hidden="1" customHeight="1" spans="1:19">
      <c r="A148" s="111"/>
      <c r="B148" s="111"/>
      <c r="C148" s="111"/>
      <c r="D148" s="111"/>
      <c r="E148" s="111"/>
      <c r="F148" s="111"/>
      <c r="G148" s="111"/>
      <c r="H148" s="111"/>
      <c r="I148" s="111"/>
      <c r="J148" s="111"/>
      <c r="K148" s="111"/>
      <c r="L148" s="111"/>
      <c r="M148" s="111"/>
      <c r="N148" s="111"/>
      <c r="O148" s="111"/>
      <c r="P148" s="111"/>
      <c r="Q148" s="111"/>
      <c r="R148" s="101"/>
      <c r="S148" s="4"/>
    </row>
    <row r="149" s="2" customFormat="1" hidden="1" customHeight="1" spans="1:19">
      <c r="A149" s="111"/>
      <c r="B149" s="111"/>
      <c r="C149" s="111"/>
      <c r="D149" s="111"/>
      <c r="E149" s="111"/>
      <c r="F149" s="111"/>
      <c r="G149" s="111"/>
      <c r="H149" s="111"/>
      <c r="I149" s="111"/>
      <c r="J149" s="111"/>
      <c r="K149" s="111"/>
      <c r="L149" s="111"/>
      <c r="M149" s="111"/>
      <c r="N149" s="111"/>
      <c r="O149" s="111"/>
      <c r="P149" s="111"/>
      <c r="Q149" s="111"/>
      <c r="R149" s="101"/>
      <c r="S149" s="4"/>
    </row>
    <row r="150" s="2" customFormat="1" hidden="1" customHeight="1" spans="1:19">
      <c r="A150" s="111"/>
      <c r="B150" s="111"/>
      <c r="C150" s="111"/>
      <c r="D150" s="111"/>
      <c r="E150" s="111"/>
      <c r="F150" s="111"/>
      <c r="G150" s="111"/>
      <c r="H150" s="111"/>
      <c r="I150" s="111"/>
      <c r="J150" s="111"/>
      <c r="K150" s="111"/>
      <c r="L150" s="111"/>
      <c r="M150" s="111"/>
      <c r="N150" s="111"/>
      <c r="O150" s="111"/>
      <c r="P150" s="111"/>
      <c r="Q150" s="111"/>
      <c r="R150" s="101"/>
      <c r="S150" s="4"/>
    </row>
    <row r="151" s="2" customFormat="1" hidden="1" customHeight="1" spans="1:19">
      <c r="A151" s="111"/>
      <c r="B151" s="111"/>
      <c r="C151" s="111"/>
      <c r="D151" s="111"/>
      <c r="E151" s="111"/>
      <c r="F151" s="111"/>
      <c r="G151" s="111"/>
      <c r="H151" s="111"/>
      <c r="I151" s="111"/>
      <c r="J151" s="111"/>
      <c r="K151" s="111"/>
      <c r="L151" s="111"/>
      <c r="M151" s="111"/>
      <c r="N151" s="111"/>
      <c r="O151" s="111"/>
      <c r="P151" s="111"/>
      <c r="Q151" s="111"/>
      <c r="R151" s="101"/>
      <c r="S151" s="4"/>
    </row>
    <row r="152" s="2" customFormat="1" hidden="1" customHeight="1" spans="1:19">
      <c r="A152" s="111"/>
      <c r="B152" s="111"/>
      <c r="C152" s="111"/>
      <c r="D152" s="111"/>
      <c r="E152" s="111"/>
      <c r="F152" s="111"/>
      <c r="G152" s="111"/>
      <c r="H152" s="111"/>
      <c r="I152" s="111"/>
      <c r="J152" s="111"/>
      <c r="K152" s="111"/>
      <c r="L152" s="111"/>
      <c r="M152" s="111"/>
      <c r="N152" s="111"/>
      <c r="O152" s="111"/>
      <c r="P152" s="111"/>
      <c r="Q152" s="111"/>
      <c r="R152" s="101"/>
      <c r="S152" s="4"/>
    </row>
    <row r="153" s="2" customFormat="1" hidden="1" customHeight="1" spans="1:19">
      <c r="A153" s="111"/>
      <c r="B153" s="111"/>
      <c r="C153" s="111"/>
      <c r="D153" s="111"/>
      <c r="E153" s="111"/>
      <c r="F153" s="111"/>
      <c r="G153" s="111"/>
      <c r="H153" s="111"/>
      <c r="I153" s="111"/>
      <c r="J153" s="111"/>
      <c r="K153" s="111"/>
      <c r="L153" s="111"/>
      <c r="M153" s="111"/>
      <c r="N153" s="111"/>
      <c r="O153" s="111"/>
      <c r="P153" s="111"/>
      <c r="Q153" s="111"/>
      <c r="R153" s="101"/>
      <c r="S153" s="4"/>
    </row>
    <row r="154" s="2" customFormat="1" hidden="1" customHeight="1" spans="1:19">
      <c r="A154" s="111"/>
      <c r="B154" s="111"/>
      <c r="C154" s="111"/>
      <c r="D154" s="111"/>
      <c r="E154" s="111"/>
      <c r="F154" s="111"/>
      <c r="G154" s="111"/>
      <c r="H154" s="111"/>
      <c r="I154" s="111"/>
      <c r="J154" s="111"/>
      <c r="K154" s="111"/>
      <c r="L154" s="111"/>
      <c r="M154" s="111"/>
      <c r="N154" s="111"/>
      <c r="O154" s="111"/>
      <c r="P154" s="111"/>
      <c r="Q154" s="111"/>
      <c r="R154" s="101"/>
      <c r="S154" s="4"/>
    </row>
    <row r="155" s="2" customFormat="1" hidden="1" customHeight="1" spans="1:19">
      <c r="A155" s="111"/>
      <c r="B155" s="111"/>
      <c r="C155" s="111"/>
      <c r="D155" s="111"/>
      <c r="E155" s="111"/>
      <c r="F155" s="111"/>
      <c r="G155" s="111"/>
      <c r="H155" s="111"/>
      <c r="I155" s="111"/>
      <c r="J155" s="111"/>
      <c r="K155" s="111"/>
      <c r="L155" s="111"/>
      <c r="M155" s="111"/>
      <c r="N155" s="111"/>
      <c r="O155" s="111"/>
      <c r="P155" s="111"/>
      <c r="Q155" s="111"/>
      <c r="R155" s="101"/>
      <c r="S155" s="4"/>
    </row>
    <row r="156" s="2" customFormat="1" hidden="1" customHeight="1" spans="1:19">
      <c r="A156" s="111"/>
      <c r="B156" s="111"/>
      <c r="C156" s="111"/>
      <c r="D156" s="111"/>
      <c r="E156" s="111"/>
      <c r="F156" s="111"/>
      <c r="G156" s="111"/>
      <c r="H156" s="111"/>
      <c r="I156" s="111"/>
      <c r="J156" s="111"/>
      <c r="K156" s="111"/>
      <c r="L156" s="111"/>
      <c r="M156" s="111"/>
      <c r="N156" s="111"/>
      <c r="O156" s="111"/>
      <c r="P156" s="111"/>
      <c r="Q156" s="111"/>
      <c r="R156" s="101"/>
      <c r="S156" s="4"/>
    </row>
    <row r="157" s="2" customFormat="1" hidden="1" customHeight="1" spans="1:19">
      <c r="A157" s="111"/>
      <c r="B157" s="111"/>
      <c r="C157" s="111"/>
      <c r="D157" s="111"/>
      <c r="E157" s="111"/>
      <c r="F157" s="111"/>
      <c r="G157" s="111"/>
      <c r="H157" s="111"/>
      <c r="I157" s="111"/>
      <c r="J157" s="111"/>
      <c r="K157" s="111"/>
      <c r="L157" s="111"/>
      <c r="M157" s="111"/>
      <c r="N157" s="111"/>
      <c r="O157" s="111"/>
      <c r="P157" s="111"/>
      <c r="Q157" s="111"/>
      <c r="R157" s="101"/>
      <c r="S157" s="4"/>
    </row>
    <row r="158" s="2" customFormat="1" hidden="1" customHeight="1" spans="1:19">
      <c r="A158" s="111"/>
      <c r="B158" s="111"/>
      <c r="C158" s="111"/>
      <c r="D158" s="111"/>
      <c r="E158" s="111"/>
      <c r="F158" s="111"/>
      <c r="G158" s="111"/>
      <c r="H158" s="111"/>
      <c r="I158" s="111"/>
      <c r="J158" s="111"/>
      <c r="K158" s="111"/>
      <c r="L158" s="111"/>
      <c r="M158" s="111"/>
      <c r="N158" s="111"/>
      <c r="O158" s="111"/>
      <c r="P158" s="111"/>
      <c r="Q158" s="111"/>
      <c r="R158" s="101"/>
      <c r="S158" s="4"/>
    </row>
    <row r="159" s="2" customFormat="1" hidden="1" customHeight="1" spans="1:19">
      <c r="A159" s="111"/>
      <c r="B159" s="111"/>
      <c r="C159" s="111"/>
      <c r="D159" s="111"/>
      <c r="E159" s="111"/>
      <c r="F159" s="111"/>
      <c r="G159" s="111"/>
      <c r="H159" s="111"/>
      <c r="I159" s="111"/>
      <c r="J159" s="111"/>
      <c r="K159" s="111"/>
      <c r="L159" s="111"/>
      <c r="M159" s="111"/>
      <c r="N159" s="111"/>
      <c r="O159" s="111"/>
      <c r="P159" s="111"/>
      <c r="Q159" s="111"/>
      <c r="R159" s="101"/>
      <c r="S159" s="4"/>
    </row>
    <row r="160" s="2" customFormat="1" hidden="1" customHeight="1" spans="1:19">
      <c r="A160" s="111"/>
      <c r="B160" s="111"/>
      <c r="C160" s="111"/>
      <c r="D160" s="111"/>
      <c r="E160" s="111"/>
      <c r="F160" s="111"/>
      <c r="G160" s="111"/>
      <c r="H160" s="111"/>
      <c r="I160" s="111"/>
      <c r="J160" s="111"/>
      <c r="K160" s="111"/>
      <c r="L160" s="111"/>
      <c r="M160" s="111"/>
      <c r="N160" s="111"/>
      <c r="O160" s="111"/>
      <c r="P160" s="111"/>
      <c r="Q160" s="111"/>
      <c r="R160" s="101"/>
      <c r="S160" s="4"/>
    </row>
    <row r="161" s="2" customFormat="1" ht="12" hidden="1" customHeight="1" spans="1:19">
      <c r="A161" s="111"/>
      <c r="B161" s="111"/>
      <c r="C161" s="111"/>
      <c r="D161" s="357" t="s">
        <v>103</v>
      </c>
      <c r="E161" s="358"/>
      <c r="F161" s="359" t="e">
        <f>IF((#REF!-#REF!)/(#REF!*#REF!)&lt;0,0,(#REF!-#REF!)/(#REF!*#REF!))</f>
        <v>#REF!</v>
      </c>
      <c r="G161" s="359" t="e">
        <f>SQRT(F161)</f>
        <v>#REF!</v>
      </c>
      <c r="H161" s="360" t="e">
        <f>F161/F$48*100</f>
        <v>#REF!</v>
      </c>
      <c r="I161" s="360"/>
      <c r="J161" s="381" t="e">
        <f>IF(OR(#REF!="",#REF!=""),"",5.15*SQRT(F161)/(O$46-O$47)*100)</f>
        <v>#REF!</v>
      </c>
      <c r="K161" s="111"/>
      <c r="L161" s="111"/>
      <c r="M161" s="111"/>
      <c r="N161" s="111"/>
      <c r="O161" s="111"/>
      <c r="P161" s="111"/>
      <c r="Q161" s="111"/>
      <c r="R161" s="101"/>
      <c r="S161" s="4"/>
    </row>
    <row r="162" s="2" customFormat="1" ht="12" hidden="1" customHeight="1" spans="1:19">
      <c r="A162" s="111"/>
      <c r="B162" s="111"/>
      <c r="C162" s="111"/>
      <c r="D162" s="357"/>
      <c r="E162" s="358"/>
      <c r="F162" s="359"/>
      <c r="G162" s="359"/>
      <c r="H162" s="360"/>
      <c r="I162" s="360"/>
      <c r="J162" s="381"/>
      <c r="K162" s="111"/>
      <c r="L162" s="111"/>
      <c r="M162" s="111"/>
      <c r="N162" s="111"/>
      <c r="O162" s="111"/>
      <c r="P162" s="111"/>
      <c r="Q162" s="111"/>
      <c r="R162" s="101"/>
      <c r="S162" s="4"/>
    </row>
    <row r="163" s="2" customFormat="1" ht="12" hidden="1" customHeight="1" spans="1:19">
      <c r="A163" s="111"/>
      <c r="B163" s="111"/>
      <c r="C163" s="111"/>
      <c r="D163" s="357" t="s">
        <v>104</v>
      </c>
      <c r="E163" s="358"/>
      <c r="F163" s="359" t="e">
        <f>IF((#REF!-#REF!)/(#REF!*#REF!)&lt;0,0,(#REF!-#REF!)/(#REF!*#REF!))</f>
        <v>#REF!</v>
      </c>
      <c r="G163" s="359" t="e">
        <f>SQRT(F163)</f>
        <v>#REF!</v>
      </c>
      <c r="H163" s="360" t="e">
        <f>F163/F$48*100</f>
        <v>#REF!</v>
      </c>
      <c r="I163" s="360"/>
      <c r="J163" s="381" t="e">
        <f>IF(OR(#REF!="",#REF!=""),"",5.15*SQRT(F163)/(O$46-O$47)*100)</f>
        <v>#REF!</v>
      </c>
      <c r="K163" s="111"/>
      <c r="L163" s="111"/>
      <c r="M163" s="111"/>
      <c r="N163" s="111"/>
      <c r="O163" s="111"/>
      <c r="P163" s="111"/>
      <c r="Q163" s="111"/>
      <c r="R163" s="101"/>
      <c r="S163" s="4"/>
    </row>
    <row r="164" s="2" customFormat="1" ht="12" hidden="1" customHeight="1" spans="1:19">
      <c r="A164" s="111"/>
      <c r="B164" s="111"/>
      <c r="C164" s="111"/>
      <c r="D164" s="361" t="s">
        <v>105</v>
      </c>
      <c r="E164" s="362"/>
      <c r="F164" s="359" t="e">
        <f>#REF!+F163</f>
        <v>#REF!</v>
      </c>
      <c r="G164" s="363" t="e">
        <f>SQRT(F164)</f>
        <v>#REF!</v>
      </c>
      <c r="H164" s="364" t="e">
        <f>F164/F$48*100</f>
        <v>#REF!</v>
      </c>
      <c r="I164" s="364"/>
      <c r="J164" s="382" t="e">
        <f>IF(OR(#REF!="",#REF!=""),"",5.15*SQRT(F164)/(O$46-O$47)*100)</f>
        <v>#REF!</v>
      </c>
      <c r="K164" s="111"/>
      <c r="L164" s="111"/>
      <c r="M164" s="111"/>
      <c r="N164" s="111"/>
      <c r="O164" s="111"/>
      <c r="P164" s="111"/>
      <c r="Q164" s="111"/>
      <c r="R164" s="101"/>
      <c r="S164" s="4"/>
    </row>
    <row r="165" s="2" customFormat="1" ht="3.75" customHeight="1" spans="1:19">
      <c r="A165" s="111"/>
      <c r="B165" s="111"/>
      <c r="C165" s="111"/>
      <c r="D165" s="111"/>
      <c r="E165" s="111"/>
      <c r="F165" s="111"/>
      <c r="G165" s="111"/>
      <c r="H165" s="111"/>
      <c r="I165" s="111"/>
      <c r="J165" s="111"/>
      <c r="K165" s="111"/>
      <c r="L165" s="111"/>
      <c r="M165" s="111"/>
      <c r="N165" s="111"/>
      <c r="O165" s="111"/>
      <c r="P165" s="111"/>
      <c r="Q165" s="111"/>
      <c r="R165" s="101"/>
      <c r="S165" s="4"/>
    </row>
    <row r="166" s="1" customFormat="1" ht="15" customHeight="1" spans="1:19">
      <c r="A166" s="5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179"/>
      <c r="R166" s="101"/>
      <c r="S166" s="181"/>
    </row>
    <row r="167" s="1" customFormat="1" ht="9.75" customHeight="1" spans="1:19">
      <c r="A167" s="7" t="s">
        <v>148</v>
      </c>
      <c r="B167" s="8"/>
      <c r="C167" s="8"/>
      <c r="D167" s="8"/>
      <c r="E167" s="8"/>
      <c r="F167" s="8"/>
      <c r="G167" s="8"/>
      <c r="H167" s="8"/>
      <c r="I167" s="8"/>
      <c r="J167" s="8"/>
      <c r="K167" s="8"/>
      <c r="L167" s="8"/>
      <c r="M167" s="8"/>
      <c r="N167" s="8"/>
      <c r="O167" s="8"/>
      <c r="P167" s="8"/>
      <c r="Q167" s="182"/>
      <c r="R167" s="101"/>
      <c r="S167" s="181"/>
    </row>
    <row r="168" s="1" customFormat="1" ht="3" customHeight="1" spans="1:19">
      <c r="A168" s="9"/>
      <c r="B168" s="10"/>
      <c r="C168" s="10"/>
      <c r="D168" s="10"/>
      <c r="E168" s="10"/>
      <c r="F168" s="10"/>
      <c r="G168" s="10"/>
      <c r="H168" s="10"/>
      <c r="I168" s="10"/>
      <c r="J168" s="119"/>
      <c r="K168" s="119"/>
      <c r="L168" s="119"/>
      <c r="M168" s="119"/>
      <c r="N168" s="119"/>
      <c r="O168" s="119"/>
      <c r="P168" s="120"/>
      <c r="Q168" s="183"/>
      <c r="R168" s="101"/>
      <c r="S168" s="181"/>
    </row>
    <row r="169" s="1" customFormat="1" customHeight="1" spans="1:19">
      <c r="A169" s="9"/>
      <c r="B169" s="10"/>
      <c r="C169" s="10"/>
      <c r="D169" s="10"/>
      <c r="E169" s="10"/>
      <c r="F169" s="17"/>
      <c r="G169" s="17"/>
      <c r="H169" s="17"/>
      <c r="I169" s="10"/>
      <c r="J169" s="17"/>
      <c r="K169" s="17"/>
      <c r="L169" s="17"/>
      <c r="M169" s="383" t="str">
        <f>L83</f>
        <v>报告编号Report NO.</v>
      </c>
      <c r="N169" s="383"/>
      <c r="O169" s="383"/>
      <c r="P169" s="276" t="str">
        <f>P83</f>
        <v/>
      </c>
      <c r="Q169" s="330"/>
      <c r="R169" s="101"/>
      <c r="S169" s="181"/>
    </row>
    <row r="170" s="2" customFormat="1" ht="3" customHeight="1" spans="1:19">
      <c r="A170" s="232"/>
      <c r="B170" s="37"/>
      <c r="C170" s="37"/>
      <c r="D170" s="13"/>
      <c r="E170" s="13"/>
      <c r="F170" s="37"/>
      <c r="G170" s="37"/>
      <c r="H170" s="37"/>
      <c r="I170" s="13"/>
      <c r="J170" s="37"/>
      <c r="K170" s="37"/>
      <c r="L170" s="37"/>
      <c r="M170" s="37"/>
      <c r="N170" s="37"/>
      <c r="O170" s="37"/>
      <c r="P170" s="37"/>
      <c r="Q170" s="331"/>
      <c r="R170" s="101"/>
      <c r="S170" s="4"/>
    </row>
    <row r="171" s="2" customFormat="1" ht="2.25" customHeight="1" spans="1:19">
      <c r="A171" s="39"/>
      <c r="B171" s="41"/>
      <c r="C171" s="41"/>
      <c r="D171" s="20"/>
      <c r="E171" s="20"/>
      <c r="F171" s="41"/>
      <c r="G171" s="41"/>
      <c r="H171" s="41"/>
      <c r="I171" s="20"/>
      <c r="J171" s="41"/>
      <c r="K171" s="41"/>
      <c r="L171" s="41"/>
      <c r="M171" s="41"/>
      <c r="N171" s="41"/>
      <c r="O171" s="41"/>
      <c r="P171" s="41"/>
      <c r="Q171" s="332"/>
      <c r="R171" s="101"/>
      <c r="S171" s="4"/>
    </row>
    <row r="172" s="2" customFormat="1" ht="18" customHeight="1" spans="1:19">
      <c r="A172" s="22" t="s">
        <v>107</v>
      </c>
      <c r="B172" s="23"/>
      <c r="C172" s="23"/>
      <c r="D172" s="24"/>
      <c r="E172" s="233" t="str">
        <f>E86</f>
        <v/>
      </c>
      <c r="F172" s="234"/>
      <c r="G172" s="27" t="s">
        <v>3</v>
      </c>
      <c r="H172" s="28"/>
      <c r="I172" s="384" t="str">
        <f>I86</f>
        <v/>
      </c>
      <c r="J172" s="385"/>
      <c r="K172" s="386" t="s">
        <v>149</v>
      </c>
      <c r="L172" s="387"/>
      <c r="M172" s="233" t="str">
        <f>M86</f>
        <v/>
      </c>
      <c r="N172" s="234"/>
      <c r="O172" s="235"/>
      <c r="P172" s="277" t="s">
        <v>5</v>
      </c>
      <c r="Q172" s="333">
        <f>Q86</f>
        <v>0</v>
      </c>
      <c r="R172" s="101"/>
      <c r="S172" s="4"/>
    </row>
    <row r="173" s="2" customFormat="1" ht="3" customHeight="1" spans="1:19">
      <c r="A173" s="29"/>
      <c r="B173" s="23"/>
      <c r="C173" s="30"/>
      <c r="D173" s="30"/>
      <c r="E173" s="235"/>
      <c r="F173" s="235"/>
      <c r="G173" s="23"/>
      <c r="H173" s="23"/>
      <c r="I173" s="388"/>
      <c r="J173" s="388"/>
      <c r="K173" s="389"/>
      <c r="L173" s="389"/>
      <c r="M173" s="235"/>
      <c r="N173" s="235"/>
      <c r="O173" s="235"/>
      <c r="P173" s="133"/>
      <c r="Q173" s="189"/>
      <c r="R173" s="101"/>
      <c r="S173" s="4"/>
    </row>
    <row r="174" s="2" customFormat="1" ht="18" customHeight="1" spans="1:19">
      <c r="A174" s="22" t="s">
        <v>6</v>
      </c>
      <c r="B174" s="23"/>
      <c r="C174" s="23"/>
      <c r="D174" s="24"/>
      <c r="E174" s="233" t="str">
        <f>E88</f>
        <v/>
      </c>
      <c r="F174" s="234"/>
      <c r="G174" s="27" t="s">
        <v>109</v>
      </c>
      <c r="H174" s="24"/>
      <c r="I174" s="384" t="str">
        <f>I88</f>
        <v/>
      </c>
      <c r="J174" s="385"/>
      <c r="K174" s="386" t="s">
        <v>150</v>
      </c>
      <c r="L174" s="390"/>
      <c r="M174" s="233" t="str">
        <f>M88</f>
        <v/>
      </c>
      <c r="N174" s="234"/>
      <c r="O174" s="235"/>
      <c r="P174" s="278" t="s">
        <v>9</v>
      </c>
      <c r="Q174" s="190">
        <f>Q88</f>
        <v>3</v>
      </c>
      <c r="R174" s="101"/>
      <c r="S174" s="4"/>
    </row>
    <row r="175" s="2" customFormat="1" ht="3" customHeight="1" spans="1:19">
      <c r="A175" s="33"/>
      <c r="B175" s="23"/>
      <c r="C175" s="23"/>
      <c r="D175" s="23"/>
      <c r="E175" s="235"/>
      <c r="F175" s="235"/>
      <c r="G175" s="23"/>
      <c r="H175" s="23"/>
      <c r="I175" s="388"/>
      <c r="J175" s="388"/>
      <c r="K175" s="389"/>
      <c r="L175" s="389"/>
      <c r="M175" s="235"/>
      <c r="N175" s="235"/>
      <c r="O175" s="235"/>
      <c r="P175" s="139"/>
      <c r="Q175" s="189"/>
      <c r="R175" s="101"/>
      <c r="S175" s="4"/>
    </row>
    <row r="176" s="2" customFormat="1" ht="18" customHeight="1" spans="1:19">
      <c r="A176" s="22" t="s">
        <v>111</v>
      </c>
      <c r="B176" s="23"/>
      <c r="C176" s="23"/>
      <c r="D176" s="24"/>
      <c r="E176" s="233" t="str">
        <f>E90</f>
        <v/>
      </c>
      <c r="F176" s="234"/>
      <c r="G176" s="27" t="s">
        <v>112</v>
      </c>
      <c r="H176" s="24"/>
      <c r="I176" s="391" t="str">
        <f>I90</f>
        <v/>
      </c>
      <c r="J176" s="392"/>
      <c r="K176" s="393" t="s">
        <v>151</v>
      </c>
      <c r="L176" s="390"/>
      <c r="M176" s="233" t="str">
        <f>M90</f>
        <v/>
      </c>
      <c r="N176" s="234"/>
      <c r="O176" s="235"/>
      <c r="P176" s="278" t="s">
        <v>13</v>
      </c>
      <c r="Q176" s="190">
        <f>Q90</f>
        <v>3</v>
      </c>
      <c r="R176" s="101"/>
      <c r="S176" s="4"/>
    </row>
    <row r="177" s="2" customFormat="1" ht="3" customHeight="1" spans="1:19">
      <c r="A177" s="33"/>
      <c r="B177" s="23"/>
      <c r="C177" s="23"/>
      <c r="D177" s="23"/>
      <c r="E177" s="235"/>
      <c r="F177" s="235"/>
      <c r="G177" s="23"/>
      <c r="H177" s="23"/>
      <c r="I177" s="388"/>
      <c r="J177" s="388"/>
      <c r="K177" s="394"/>
      <c r="L177" s="389"/>
      <c r="M177" s="235"/>
      <c r="N177" s="235"/>
      <c r="O177" s="235"/>
      <c r="P177" s="139"/>
      <c r="Q177" s="189"/>
      <c r="R177" s="101"/>
      <c r="S177" s="4"/>
    </row>
    <row r="178" s="2" customFormat="1" ht="18" customHeight="1" spans="1:19">
      <c r="A178" s="22" t="s">
        <v>114</v>
      </c>
      <c r="B178" s="23"/>
      <c r="C178" s="23"/>
      <c r="D178" s="23"/>
      <c r="E178" s="233" t="str">
        <f>E92</f>
        <v>MM</v>
      </c>
      <c r="F178" s="234"/>
      <c r="G178" s="136" t="s">
        <v>115</v>
      </c>
      <c r="H178" s="23"/>
      <c r="I178" s="391" t="str">
        <f>I92</f>
        <v/>
      </c>
      <c r="J178" s="395" t="s">
        <v>152</v>
      </c>
      <c r="K178" s="396"/>
      <c r="L178" s="396"/>
      <c r="M178" s="233" t="str">
        <f>M92</f>
        <v/>
      </c>
      <c r="N178" s="234"/>
      <c r="O178" s="235"/>
      <c r="P178" s="136" t="s">
        <v>18</v>
      </c>
      <c r="Q178" s="190">
        <f>Q92</f>
        <v>10</v>
      </c>
      <c r="R178" s="101"/>
      <c r="S178" s="4"/>
    </row>
    <row r="179" s="2" customFormat="1" ht="2.25" customHeight="1" spans="1:19">
      <c r="A179" s="236"/>
      <c r="B179" s="36"/>
      <c r="C179" s="36"/>
      <c r="D179" s="36"/>
      <c r="E179" s="13"/>
      <c r="F179" s="13"/>
      <c r="G179" s="36"/>
      <c r="H179" s="36"/>
      <c r="I179" s="13"/>
      <c r="J179" s="13"/>
      <c r="K179" s="37"/>
      <c r="L179" s="37"/>
      <c r="M179" s="13"/>
      <c r="N179" s="13"/>
      <c r="O179" s="13"/>
      <c r="P179" s="37"/>
      <c r="Q179" s="191"/>
      <c r="R179" s="101"/>
      <c r="S179" s="4"/>
    </row>
    <row r="180" s="2" customFormat="1" ht="3" customHeight="1" spans="1:19">
      <c r="A180" s="365"/>
      <c r="B180" s="40"/>
      <c r="C180" s="40"/>
      <c r="D180" s="40"/>
      <c r="E180" s="20"/>
      <c r="F180" s="20"/>
      <c r="G180" s="40"/>
      <c r="H180" s="40"/>
      <c r="I180" s="20"/>
      <c r="J180" s="20"/>
      <c r="K180" s="41"/>
      <c r="L180" s="41"/>
      <c r="M180" s="20"/>
      <c r="N180" s="20"/>
      <c r="O180" s="20"/>
      <c r="P180" s="41"/>
      <c r="Q180" s="425"/>
      <c r="R180" s="101"/>
      <c r="S180" s="4"/>
    </row>
    <row r="181" s="2" customFormat="1" ht="28.5" customHeight="1" spans="1:19">
      <c r="A181" s="29"/>
      <c r="B181" s="366" t="s">
        <v>153</v>
      </c>
      <c r="C181" s="366"/>
      <c r="D181" s="366"/>
      <c r="E181" s="367" t="str">
        <f>IF(J67&gt;=K199,"不包含without","包含With")</f>
        <v>不包含without</v>
      </c>
      <c r="F181" s="368" t="s">
        <v>154</v>
      </c>
      <c r="G181" s="368"/>
      <c r="H181" s="368"/>
      <c r="I181" s="397"/>
      <c r="J181" s="30"/>
      <c r="K181" s="30"/>
      <c r="L181" s="30"/>
      <c r="M181" s="30"/>
      <c r="N181" s="398"/>
      <c r="O181" s="398"/>
      <c r="P181" s="30"/>
      <c r="Q181" s="187"/>
      <c r="R181" s="101"/>
      <c r="S181" s="4"/>
    </row>
    <row r="182" s="2" customFormat="1" ht="21" customHeight="1" spans="1:19">
      <c r="A182" s="29"/>
      <c r="B182" s="369" t="s">
        <v>155</v>
      </c>
      <c r="C182" s="369"/>
      <c r="D182" s="369"/>
      <c r="E182" s="369"/>
      <c r="F182" s="369" t="s">
        <v>156</v>
      </c>
      <c r="G182" s="369"/>
      <c r="H182" s="369" t="s">
        <v>157</v>
      </c>
      <c r="I182" s="369"/>
      <c r="J182" s="369" t="s">
        <v>158</v>
      </c>
      <c r="K182" s="369"/>
      <c r="L182" s="369" t="s">
        <v>159</v>
      </c>
      <c r="M182" s="369"/>
      <c r="N182" s="399" t="s">
        <v>160</v>
      </c>
      <c r="O182" s="400"/>
      <c r="P182" s="401"/>
      <c r="Q182" s="187"/>
      <c r="R182" s="101"/>
      <c r="S182" s="4"/>
    </row>
    <row r="183" s="2" customFormat="1" ht="15" customHeight="1" spans="1:19">
      <c r="A183" s="29"/>
      <c r="B183" s="370" t="s">
        <v>161</v>
      </c>
      <c r="C183" s="370"/>
      <c r="D183" s="370"/>
      <c r="E183" s="370"/>
      <c r="F183" s="369">
        <f>IF($K$199&gt;$O$199,F65,M65)</f>
        <v>9</v>
      </c>
      <c r="G183" s="369"/>
      <c r="H183" s="371">
        <f>IF($K$199&gt;$O$199,G65,N65)</f>
        <v>88.3619344444444</v>
      </c>
      <c r="I183" s="371"/>
      <c r="J183" s="371">
        <f>IF($K$199&gt;$O$199,H65,O65)</f>
        <v>9.81799271604938</v>
      </c>
      <c r="K183" s="371"/>
      <c r="L183" s="371">
        <f>IF($K$199&gt;$O$199,I65,P65)</f>
        <v>245.61391038552</v>
      </c>
      <c r="M183" s="371"/>
      <c r="N183" s="402"/>
      <c r="O183" s="403"/>
      <c r="P183" s="30"/>
      <c r="Q183" s="187"/>
      <c r="R183" s="101"/>
      <c r="S183" s="4"/>
    </row>
    <row r="184" s="2" customFormat="1" ht="15" customHeight="1" spans="1:19">
      <c r="A184" s="29"/>
      <c r="B184" s="370" t="s">
        <v>162</v>
      </c>
      <c r="C184" s="370"/>
      <c r="D184" s="370"/>
      <c r="E184" s="370"/>
      <c r="F184" s="369">
        <f>IF($K$199&gt;$O$199,F66,M66)</f>
        <v>2</v>
      </c>
      <c r="G184" s="369"/>
      <c r="H184" s="371">
        <f>IF($K$199&gt;$O$199,G66,N66)</f>
        <v>3.16726222222222</v>
      </c>
      <c r="I184" s="371"/>
      <c r="J184" s="371">
        <f>IF($K$199&gt;$O$199,H66,O66)</f>
        <v>1.58363111111111</v>
      </c>
      <c r="K184" s="371"/>
      <c r="L184" s="371">
        <f>IF($K$199&gt;$O$199,I66,P66)</f>
        <v>39.61724570974</v>
      </c>
      <c r="M184" s="371"/>
      <c r="N184" s="404"/>
      <c r="O184" s="405"/>
      <c r="P184" s="30"/>
      <c r="Q184" s="187"/>
      <c r="R184" s="101"/>
      <c r="S184" s="4"/>
    </row>
    <row r="185" s="2" customFormat="1" ht="15" customHeight="1" spans="1:19">
      <c r="A185" s="29"/>
      <c r="B185" s="372" t="s">
        <v>163</v>
      </c>
      <c r="C185" s="373"/>
      <c r="D185" s="373"/>
      <c r="E185" s="374"/>
      <c r="F185" s="369">
        <f>IF($K$199&gt;$O$199,F67,M67)</f>
        <v>0</v>
      </c>
      <c r="G185" s="369"/>
      <c r="H185" s="371">
        <f>IF($K$199&gt;$O$199,G67,N67)</f>
        <v>0</v>
      </c>
      <c r="I185" s="371"/>
      <c r="J185" s="371">
        <f>IF($K$199&gt;$O$199,H67,O67)</f>
        <v>0</v>
      </c>
      <c r="K185" s="371"/>
      <c r="L185" s="371">
        <f>IF($K$199&gt;$O$199,I67,P67)</f>
        <v>0</v>
      </c>
      <c r="M185" s="406"/>
      <c r="N185" s="407"/>
      <c r="O185" s="408"/>
      <c r="P185" s="30"/>
      <c r="Q185" s="187"/>
      <c r="R185" s="101"/>
      <c r="S185" s="4"/>
    </row>
    <row r="186" s="2" customFormat="1" ht="15" customHeight="1" spans="1:19">
      <c r="A186" s="29"/>
      <c r="B186" s="370" t="s">
        <v>164</v>
      </c>
      <c r="C186" s="370"/>
      <c r="D186" s="370"/>
      <c r="E186" s="370"/>
      <c r="F186" s="369">
        <f>IF($K$199&gt;$O$199,F68,M68)</f>
        <v>78</v>
      </c>
      <c r="G186" s="369"/>
      <c r="H186" s="371">
        <f>IF($K$199&gt;$O$199,G68,N68)</f>
        <v>3.1179155555556</v>
      </c>
      <c r="I186" s="371"/>
      <c r="J186" s="371">
        <f>IF($K$199&gt;$O$199,H68,O68)</f>
        <v>0.0399732763532769</v>
      </c>
      <c r="K186" s="371"/>
      <c r="L186" s="371"/>
      <c r="M186" s="406"/>
      <c r="N186" s="409">
        <f>1.41*H195/H190</f>
        <v>4.86051647662157</v>
      </c>
      <c r="O186" s="410" t="str">
        <f>"≈"&amp;INT(N186)</f>
        <v>≈4</v>
      </c>
      <c r="P186" s="30"/>
      <c r="Q186" s="187"/>
      <c r="R186" s="101"/>
      <c r="S186" s="4"/>
    </row>
    <row r="187" s="2" customFormat="1" ht="15" customHeight="1" spans="1:19">
      <c r="A187" s="29"/>
      <c r="B187" s="370" t="s">
        <v>165</v>
      </c>
      <c r="C187" s="370"/>
      <c r="D187" s="370"/>
      <c r="E187" s="370"/>
      <c r="F187" s="369">
        <f>IF($K$199&gt;$O$199,F69,M69)</f>
        <v>89</v>
      </c>
      <c r="G187" s="369"/>
      <c r="H187" s="371">
        <f>IF($K$199&gt;$O$199,G69,N69)</f>
        <v>94.6471122222223</v>
      </c>
      <c r="I187" s="371"/>
      <c r="J187" s="371"/>
      <c r="K187" s="371"/>
      <c r="L187" s="371"/>
      <c r="M187" s="406"/>
      <c r="N187" s="411"/>
      <c r="O187" s="412"/>
      <c r="P187" s="30"/>
      <c r="Q187" s="187"/>
      <c r="R187" s="101"/>
      <c r="S187" s="4"/>
    </row>
    <row r="188" s="2" customFormat="1" ht="1.5" customHeight="1" spans="1:19">
      <c r="A188" s="29"/>
      <c r="B188" s="30"/>
      <c r="C188" s="30"/>
      <c r="D188" s="30"/>
      <c r="E188" s="30"/>
      <c r="F188" s="30"/>
      <c r="G188" s="30"/>
      <c r="H188" s="30"/>
      <c r="I188" s="30"/>
      <c r="J188" s="30"/>
      <c r="K188" s="30"/>
      <c r="L188" s="30"/>
      <c r="M188" s="30"/>
      <c r="N188" s="30"/>
      <c r="O188" s="30"/>
      <c r="P188" s="30"/>
      <c r="Q188" s="187"/>
      <c r="R188" s="101"/>
      <c r="S188" s="4"/>
    </row>
    <row r="189" s="2" customFormat="1" ht="24" customHeight="1" spans="1:19">
      <c r="A189" s="29"/>
      <c r="B189" s="375" t="s">
        <v>155</v>
      </c>
      <c r="C189" s="375"/>
      <c r="D189" s="375"/>
      <c r="E189" s="375"/>
      <c r="F189" s="376" t="s">
        <v>166</v>
      </c>
      <c r="G189" s="377"/>
      <c r="H189" s="375" t="s">
        <v>167</v>
      </c>
      <c r="I189" s="413"/>
      <c r="J189" s="414" t="s">
        <v>168</v>
      </c>
      <c r="K189" s="415"/>
      <c r="L189" s="416" t="s">
        <v>169</v>
      </c>
      <c r="M189" s="417"/>
      <c r="N189" s="417" t="s">
        <v>170</v>
      </c>
      <c r="O189" s="417"/>
      <c r="P189" s="30"/>
      <c r="Q189" s="187"/>
      <c r="R189" s="101"/>
      <c r="S189" s="4"/>
    </row>
    <row r="190" s="2" customFormat="1" ht="15" customHeight="1" spans="1:19">
      <c r="A190" s="29"/>
      <c r="B190" s="378" t="s">
        <v>171</v>
      </c>
      <c r="C190" s="378"/>
      <c r="D190" s="378"/>
      <c r="E190" s="378"/>
      <c r="F190" s="371">
        <f>IF($K$199&gt;$O$199,F72,M72)</f>
        <v>0.0914285375118713</v>
      </c>
      <c r="G190" s="371"/>
      <c r="H190" s="371">
        <f>IF($K$199&gt;$O$199,G72,N72)</f>
        <v>0.302371522322905</v>
      </c>
      <c r="I190" s="406"/>
      <c r="J190" s="418">
        <f>IF($K$199&gt;$O$199,H72,O72)</f>
        <v>0.0776215867520899</v>
      </c>
      <c r="K190" s="419"/>
      <c r="L190" s="419">
        <f>IF($K$199&gt;$O$199,I72,P72)</f>
        <v>0.278606508811424</v>
      </c>
      <c r="M190" s="419"/>
      <c r="N190" s="419" t="e">
        <f>IF($K$199&gt;$O$199,J72,Q72)</f>
        <v>#DIV/0!</v>
      </c>
      <c r="O190" s="420"/>
      <c r="P190" s="30"/>
      <c r="Q190" s="187"/>
      <c r="R190" s="101"/>
      <c r="S190" s="4"/>
    </row>
    <row r="191" s="2" customFormat="1" ht="15" customHeight="1" spans="1:19">
      <c r="A191" s="29"/>
      <c r="B191" s="378" t="s">
        <v>172</v>
      </c>
      <c r="C191" s="378"/>
      <c r="D191" s="378"/>
      <c r="E191" s="378"/>
      <c r="F191" s="371">
        <f>IF($K$199&gt;$O$199,F73,M73)</f>
        <v>0.0399732763532769</v>
      </c>
      <c r="G191" s="371"/>
      <c r="H191" s="371">
        <f>IF($K$199&gt;$O$199,G73,N73)</f>
        <v>0.199933179720818</v>
      </c>
      <c r="I191" s="371"/>
      <c r="J191" s="421">
        <f>IF($K$199&gt;$O$199,H73,O73)</f>
        <v>0.0339367687886101</v>
      </c>
      <c r="K191" s="421"/>
      <c r="L191" s="421">
        <f>IF($K$199&gt;$O$199,I73,P73)</f>
        <v>0.184219349658526</v>
      </c>
      <c r="M191" s="421"/>
      <c r="N191" s="421" t="e">
        <f>IF($K$199&gt;$O$199,J73,Q73)</f>
        <v>#DIV/0!</v>
      </c>
      <c r="O191" s="421"/>
      <c r="P191" s="30"/>
      <c r="Q191" s="187"/>
      <c r="R191" s="101"/>
      <c r="S191" s="4"/>
    </row>
    <row r="192" s="2" customFormat="1" ht="15" customHeight="1" spans="1:19">
      <c r="A192" s="29"/>
      <c r="B192" s="379" t="s">
        <v>173</v>
      </c>
      <c r="C192" s="379"/>
      <c r="D192" s="379"/>
      <c r="E192" s="379"/>
      <c r="F192" s="371">
        <f>IF($K$199&gt;$O$199,F74,M74)</f>
        <v>0.0514552611585945</v>
      </c>
      <c r="G192" s="371"/>
      <c r="H192" s="371">
        <f>IF($K$199&gt;$O$199,G74,N74)</f>
        <v>0.226837521496322</v>
      </c>
      <c r="I192" s="371"/>
      <c r="J192" s="422">
        <f>IF($K$199&gt;$O$199,H74,O74)</f>
        <v>0.0436848179634797</v>
      </c>
      <c r="K192" s="422"/>
      <c r="L192" s="422">
        <f>IF($K$199&gt;$O$199,I74,P74)</f>
        <v>0.209009133684343</v>
      </c>
      <c r="M192" s="422"/>
      <c r="N192" s="422" t="e">
        <f>IF($K$199&gt;$O$199,J74,Q74)</f>
        <v>#DIV/0!</v>
      </c>
      <c r="O192" s="422"/>
      <c r="P192" s="30"/>
      <c r="Q192" s="187"/>
      <c r="R192" s="101"/>
      <c r="S192" s="4"/>
    </row>
    <row r="193" s="2" customFormat="1" ht="15" customHeight="1" spans="1:19">
      <c r="A193" s="29"/>
      <c r="B193" s="378" t="s">
        <v>174</v>
      </c>
      <c r="C193" s="378"/>
      <c r="D193" s="378"/>
      <c r="E193" s="378"/>
      <c r="F193" s="371">
        <f>IF($K$199&gt;$O$199,F75,M75)</f>
        <v>0.0514552611585945</v>
      </c>
      <c r="G193" s="371"/>
      <c r="H193" s="371">
        <f>IF($K$199&gt;$O$199,G75,N75)</f>
        <v>0.226837521496322</v>
      </c>
      <c r="I193" s="371"/>
      <c r="J193" s="422">
        <f>IF($K$199&gt;$O$199,H75,O75)</f>
        <v>0.0436848179634797</v>
      </c>
      <c r="K193" s="422"/>
      <c r="L193" s="422">
        <f>IF($K$199&gt;$O$199,I75,P75)</f>
        <v>0.209009133684343</v>
      </c>
      <c r="M193" s="422"/>
      <c r="N193" s="422" t="e">
        <f>IF($K$199&gt;$O$199,J75,Q75)</f>
        <v>#DIV/0!</v>
      </c>
      <c r="O193" s="422"/>
      <c r="P193" s="30"/>
      <c r="Q193" s="187"/>
      <c r="R193" s="101"/>
      <c r="S193" s="4"/>
    </row>
    <row r="194" s="2" customFormat="1" ht="15" customHeight="1" spans="1:19">
      <c r="A194" s="29"/>
      <c r="B194" s="426" t="s">
        <v>175</v>
      </c>
      <c r="C194" s="427"/>
      <c r="D194" s="427"/>
      <c r="E194" s="428"/>
      <c r="F194" s="429">
        <v>0</v>
      </c>
      <c r="G194" s="429"/>
      <c r="H194" s="429">
        <v>0</v>
      </c>
      <c r="I194" s="429"/>
      <c r="J194" s="429">
        <v>0</v>
      </c>
      <c r="K194" s="429"/>
      <c r="L194" s="429">
        <v>0</v>
      </c>
      <c r="M194" s="429"/>
      <c r="N194" s="429">
        <v>0</v>
      </c>
      <c r="O194" s="429"/>
      <c r="P194" s="30"/>
      <c r="Q194" s="187"/>
      <c r="R194" s="101"/>
      <c r="S194" s="4"/>
    </row>
    <row r="195" s="2" customFormat="1" ht="15" customHeight="1" spans="1:19">
      <c r="A195" s="29"/>
      <c r="B195" s="378" t="s">
        <v>176</v>
      </c>
      <c r="C195" s="378"/>
      <c r="D195" s="378"/>
      <c r="E195" s="378"/>
      <c r="F195" s="371">
        <f>IF($K$199&gt;$O$199,F77,M77)</f>
        <v>1.08644660441068</v>
      </c>
      <c r="G195" s="371"/>
      <c r="H195" s="371">
        <f>IF($K$199&gt;$O$199,G77,N77)</f>
        <v>1.04232749383803</v>
      </c>
      <c r="I195" s="371"/>
      <c r="J195" s="422">
        <f>IF($K$199&gt;$O$199,H77,O77)</f>
        <v>0.92237841324791</v>
      </c>
      <c r="K195" s="422"/>
      <c r="L195" s="422">
        <f>IF($K$199&gt;$O$199,I77,P77)</f>
        <v>0.960405337994281</v>
      </c>
      <c r="M195" s="422"/>
      <c r="N195" s="422" t="e">
        <f>IF($K$199&gt;$O$199,J77,Q77)</f>
        <v>#DIV/0!</v>
      </c>
      <c r="O195" s="422"/>
      <c r="P195" s="30"/>
      <c r="Q195" s="187"/>
      <c r="R195" s="101"/>
      <c r="S195" s="4"/>
    </row>
    <row r="196" s="2" customFormat="1" ht="15" customHeight="1" spans="1:19">
      <c r="A196" s="29"/>
      <c r="B196" s="379" t="s">
        <v>177</v>
      </c>
      <c r="C196" s="379"/>
      <c r="D196" s="379"/>
      <c r="E196" s="379"/>
      <c r="F196" s="371">
        <f>IF($K$199&gt;$O$199,F78,M78)</f>
        <v>1.17787514192255</v>
      </c>
      <c r="G196" s="371"/>
      <c r="H196" s="371">
        <f>IF($K$199&gt;$O$199,G78,N78)</f>
        <v>1.08529956321863</v>
      </c>
      <c r="I196" s="371"/>
      <c r="J196" s="422">
        <f>IF($K$199&gt;$O$199,H78,O78)</f>
        <v>1</v>
      </c>
      <c r="K196" s="422"/>
      <c r="L196" s="422">
        <f>IF($K$199&gt;$O$199,I78,P78)</f>
        <v>1</v>
      </c>
      <c r="M196" s="422"/>
      <c r="N196" s="422" t="e">
        <f>IF($K$199&gt;$O$199,J78,Q78)</f>
        <v>#DIV/0!</v>
      </c>
      <c r="O196" s="422"/>
      <c r="P196" s="30"/>
      <c r="Q196" s="187"/>
      <c r="R196" s="101"/>
      <c r="S196" s="4"/>
    </row>
    <row r="197" s="2" customFormat="1" spans="1:19">
      <c r="A197" s="29"/>
      <c r="B197" s="30"/>
      <c r="C197" s="430" t="str">
        <f>IF($K$199&lt;$O$199,"Note: Refer to above tables because P value of operator*Part is greater than setting value","Note:Refer to above tables because P value of operator'*Part is less than setting value")</f>
        <v>Note: Refer to above tables because P value of operator*Part is greater than setting value</v>
      </c>
      <c r="D197" s="30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  <c r="Q197" s="187"/>
      <c r="R197" s="101"/>
      <c r="S197" s="4"/>
    </row>
    <row r="198" s="2" customFormat="1" ht="3.75" customHeight="1" spans="1:19">
      <c r="A198" s="29"/>
      <c r="B198" s="30"/>
      <c r="C198" s="30"/>
      <c r="D198" s="30"/>
      <c r="E198" s="30"/>
      <c r="F198" s="30"/>
      <c r="G198" s="30"/>
      <c r="H198" s="30"/>
      <c r="I198" s="30"/>
      <c r="J198" s="30"/>
      <c r="K198" s="30"/>
      <c r="L198" s="30"/>
      <c r="M198" s="30"/>
      <c r="N198" s="30"/>
      <c r="O198" s="30"/>
      <c r="P198" s="30"/>
      <c r="Q198" s="187"/>
      <c r="R198" s="101"/>
      <c r="S198" s="4"/>
    </row>
    <row r="199" s="2" customFormat="1" ht="20.25" customHeight="1" spans="1:19">
      <c r="A199" s="232"/>
      <c r="B199" s="37"/>
      <c r="C199" s="431" t="s">
        <v>178</v>
      </c>
      <c r="D199" s="431"/>
      <c r="E199" s="431"/>
      <c r="F199" s="431"/>
      <c r="G199" s="431"/>
      <c r="H199" s="431"/>
      <c r="I199" s="431"/>
      <c r="J199" s="431"/>
      <c r="K199" s="440">
        <v>0.25</v>
      </c>
      <c r="L199" s="37"/>
      <c r="M199" s="441" t="s">
        <v>179</v>
      </c>
      <c r="N199" s="441"/>
      <c r="O199" s="442">
        <f>J67</f>
        <v>0.97410640432906</v>
      </c>
      <c r="P199" s="37"/>
      <c r="Q199" s="331"/>
      <c r="R199" s="101"/>
      <c r="S199" s="4"/>
    </row>
    <row r="200" s="2" customFormat="1" ht="22.5" customHeight="1" spans="1:19">
      <c r="A200" s="39"/>
      <c r="B200" s="41"/>
      <c r="C200" s="432"/>
      <c r="D200" s="432"/>
      <c r="E200" s="432"/>
      <c r="F200" s="432"/>
      <c r="G200" s="432"/>
      <c r="H200" s="433"/>
      <c r="I200" s="433"/>
      <c r="J200" s="41"/>
      <c r="K200" s="41"/>
      <c r="L200" s="41"/>
      <c r="M200" s="41"/>
      <c r="N200" s="443"/>
      <c r="O200" s="443"/>
      <c r="P200" s="41"/>
      <c r="Q200" s="332"/>
      <c r="R200" s="101"/>
      <c r="S200" s="4"/>
    </row>
    <row r="201" s="2" customFormat="1" spans="1:19">
      <c r="A201" s="29"/>
      <c r="B201" s="30"/>
      <c r="C201" s="30"/>
      <c r="D201" s="30"/>
      <c r="E201" s="30"/>
      <c r="F201" s="30"/>
      <c r="G201" s="30"/>
      <c r="H201" s="30"/>
      <c r="I201" s="30"/>
      <c r="J201" s="30"/>
      <c r="K201" s="30"/>
      <c r="L201" s="30"/>
      <c r="M201" s="30"/>
      <c r="N201" s="30"/>
      <c r="O201" s="30"/>
      <c r="P201" s="30"/>
      <c r="Q201" s="187"/>
      <c r="R201" s="101"/>
      <c r="S201" s="4"/>
    </row>
    <row r="202" s="2" customFormat="1" spans="1:19">
      <c r="A202" s="29"/>
      <c r="B202" s="30"/>
      <c r="C202" s="30"/>
      <c r="D202" s="30"/>
      <c r="E202" s="30"/>
      <c r="F202" s="30"/>
      <c r="G202" s="30"/>
      <c r="H202" s="30"/>
      <c r="I202" s="30"/>
      <c r="J202" s="30"/>
      <c r="K202" s="30"/>
      <c r="L202" s="30"/>
      <c r="M202" s="30"/>
      <c r="N202" s="30"/>
      <c r="O202" s="30"/>
      <c r="P202" s="30"/>
      <c r="Q202" s="187"/>
      <c r="R202" s="101"/>
      <c r="S202" s="4"/>
    </row>
    <row r="203" s="2" customFormat="1" spans="1:19">
      <c r="A203" s="29"/>
      <c r="B203" s="30"/>
      <c r="C203" s="30"/>
      <c r="D203" s="30"/>
      <c r="E203" s="30"/>
      <c r="F203" s="30"/>
      <c r="G203" s="30"/>
      <c r="H203" s="30"/>
      <c r="I203" s="30"/>
      <c r="J203" s="30"/>
      <c r="K203" s="30"/>
      <c r="L203" s="30"/>
      <c r="M203" s="30"/>
      <c r="N203" s="30"/>
      <c r="O203" s="30"/>
      <c r="P203" s="30"/>
      <c r="Q203" s="187"/>
      <c r="R203" s="101"/>
      <c r="S203" s="4"/>
    </row>
    <row r="204" s="2" customFormat="1" spans="1:19">
      <c r="A204" s="29"/>
      <c r="B204" s="30"/>
      <c r="C204" s="30"/>
      <c r="D204" s="30"/>
      <c r="E204" s="30"/>
      <c r="F204" s="30"/>
      <c r="G204" s="30"/>
      <c r="H204" s="30"/>
      <c r="I204" s="30"/>
      <c r="J204" s="30"/>
      <c r="K204" s="30"/>
      <c r="L204" s="30"/>
      <c r="M204" s="30"/>
      <c r="N204" s="30"/>
      <c r="O204" s="30"/>
      <c r="P204" s="30"/>
      <c r="Q204" s="187"/>
      <c r="R204" s="101"/>
      <c r="S204" s="4"/>
    </row>
    <row r="205" s="2" customFormat="1" spans="1:19">
      <c r="A205" s="29"/>
      <c r="B205" s="30"/>
      <c r="C205" s="30"/>
      <c r="D205" s="30"/>
      <c r="E205" s="30"/>
      <c r="F205" s="30"/>
      <c r="G205" s="30"/>
      <c r="H205" s="30"/>
      <c r="I205" s="30"/>
      <c r="J205" s="30"/>
      <c r="K205" s="30"/>
      <c r="L205" s="30"/>
      <c r="M205" s="30"/>
      <c r="N205" s="30"/>
      <c r="O205" s="30"/>
      <c r="P205" s="30"/>
      <c r="Q205" s="187"/>
      <c r="R205" s="101"/>
      <c r="S205" s="4"/>
    </row>
    <row r="206" s="2" customFormat="1" spans="1:19">
      <c r="A206" s="29"/>
      <c r="B206" s="30"/>
      <c r="C206" s="30"/>
      <c r="D206" s="30"/>
      <c r="E206" s="30"/>
      <c r="F206" s="30"/>
      <c r="G206" s="30"/>
      <c r="H206" s="30"/>
      <c r="I206" s="30"/>
      <c r="J206" s="30"/>
      <c r="K206" s="30"/>
      <c r="L206" s="30"/>
      <c r="M206" s="30"/>
      <c r="N206" s="30"/>
      <c r="O206" s="30"/>
      <c r="P206" s="30"/>
      <c r="Q206" s="187"/>
      <c r="R206" s="101"/>
      <c r="S206" s="4"/>
    </row>
    <row r="207" s="2" customFormat="1" spans="1:19">
      <c r="A207" s="29"/>
      <c r="B207" s="30"/>
      <c r="C207" s="30"/>
      <c r="D207" s="30"/>
      <c r="E207" s="30"/>
      <c r="F207" s="30"/>
      <c r="G207" s="30"/>
      <c r="H207" s="30"/>
      <c r="I207" s="30"/>
      <c r="J207" s="30"/>
      <c r="K207" s="30"/>
      <c r="L207" s="30"/>
      <c r="M207" s="30"/>
      <c r="N207" s="30"/>
      <c r="O207" s="30"/>
      <c r="P207" s="30"/>
      <c r="Q207" s="187"/>
      <c r="R207" s="101"/>
      <c r="S207" s="4"/>
    </row>
    <row r="208" s="2" customFormat="1" spans="1:19">
      <c r="A208" s="29"/>
      <c r="B208" s="30"/>
      <c r="C208" s="30"/>
      <c r="D208" s="30"/>
      <c r="E208" s="30"/>
      <c r="F208" s="30"/>
      <c r="G208" s="30"/>
      <c r="H208" s="30"/>
      <c r="I208" s="30"/>
      <c r="J208" s="30"/>
      <c r="K208" s="30"/>
      <c r="L208" s="30"/>
      <c r="M208" s="30"/>
      <c r="N208" s="30"/>
      <c r="O208" s="30"/>
      <c r="P208" s="30"/>
      <c r="Q208" s="187"/>
      <c r="R208" s="101"/>
      <c r="S208" s="4"/>
    </row>
    <row r="209" s="2" customFormat="1" spans="1:19">
      <c r="A209" s="29"/>
      <c r="B209" s="30"/>
      <c r="C209" s="30"/>
      <c r="D209" s="30"/>
      <c r="E209" s="30"/>
      <c r="F209" s="30"/>
      <c r="G209" s="30"/>
      <c r="H209" s="30"/>
      <c r="I209" s="30"/>
      <c r="J209" s="30"/>
      <c r="K209" s="30"/>
      <c r="L209" s="30"/>
      <c r="M209" s="30"/>
      <c r="N209" s="30"/>
      <c r="O209" s="30"/>
      <c r="P209" s="30"/>
      <c r="Q209" s="187"/>
      <c r="R209" s="101"/>
      <c r="S209" s="4"/>
    </row>
    <row r="210" s="2" customFormat="1" spans="1:19">
      <c r="A210" s="29"/>
      <c r="B210" s="30"/>
      <c r="C210" s="30"/>
      <c r="D210" s="30"/>
      <c r="E210" s="30"/>
      <c r="F210" s="30"/>
      <c r="G210" s="30"/>
      <c r="H210" s="30"/>
      <c r="I210" s="30"/>
      <c r="J210" s="30"/>
      <c r="K210" s="30"/>
      <c r="L210" s="30"/>
      <c r="M210" s="30"/>
      <c r="N210" s="30"/>
      <c r="O210" s="30"/>
      <c r="P210" s="30"/>
      <c r="Q210" s="187"/>
      <c r="R210" s="101"/>
      <c r="S210" s="4"/>
    </row>
    <row r="211" s="2" customFormat="1" spans="1:19">
      <c r="A211" s="29"/>
      <c r="B211" s="30"/>
      <c r="C211" s="30"/>
      <c r="D211" s="30"/>
      <c r="E211" s="30"/>
      <c r="F211" s="30"/>
      <c r="G211" s="30"/>
      <c r="H211" s="30"/>
      <c r="I211" s="30"/>
      <c r="J211" s="30"/>
      <c r="K211" s="30"/>
      <c r="L211" s="30"/>
      <c r="M211" s="30"/>
      <c r="N211" s="30"/>
      <c r="O211" s="30"/>
      <c r="P211" s="30"/>
      <c r="Q211" s="187"/>
      <c r="R211" s="101"/>
      <c r="S211" s="4"/>
    </row>
    <row r="212" s="2" customFormat="1" ht="12.75" customHeight="1" spans="1:19">
      <c r="A212" s="29"/>
      <c r="B212" s="30"/>
      <c r="C212" s="30"/>
      <c r="D212" s="30"/>
      <c r="E212" s="30"/>
      <c r="F212" s="30"/>
      <c r="G212" s="30"/>
      <c r="H212" s="30"/>
      <c r="I212" s="30"/>
      <c r="J212" s="444" t="s">
        <v>180</v>
      </c>
      <c r="K212" s="444"/>
      <c r="L212" s="444"/>
      <c r="M212" s="444"/>
      <c r="N212" s="413" t="s">
        <v>168</v>
      </c>
      <c r="O212" s="413"/>
      <c r="P212" s="445" t="s">
        <v>169</v>
      </c>
      <c r="Q212" s="453"/>
      <c r="R212" s="101"/>
      <c r="S212" s="4"/>
    </row>
    <row r="213" s="2" customFormat="1" spans="1:19">
      <c r="A213" s="29"/>
      <c r="B213" s="30"/>
      <c r="C213" s="30"/>
      <c r="D213" s="30"/>
      <c r="E213" s="30"/>
      <c r="F213" s="30"/>
      <c r="G213" s="30"/>
      <c r="H213" s="30"/>
      <c r="I213" s="30"/>
      <c r="J213" s="444"/>
      <c r="K213" s="444"/>
      <c r="L213" s="444"/>
      <c r="M213" s="444"/>
      <c r="N213" s="446">
        <f>J190</f>
        <v>0.0776215867520899</v>
      </c>
      <c r="O213" s="171"/>
      <c r="P213" s="446">
        <f>L190</f>
        <v>0.278606508811424</v>
      </c>
      <c r="Q213" s="454"/>
      <c r="R213" s="101"/>
      <c r="S213" s="4"/>
    </row>
    <row r="214" s="2" customFormat="1" spans="1:19">
      <c r="A214" s="29"/>
      <c r="B214" s="30"/>
      <c r="C214" s="30"/>
      <c r="D214" s="30"/>
      <c r="E214" s="30"/>
      <c r="F214" s="30"/>
      <c r="G214" s="30"/>
      <c r="H214" s="30"/>
      <c r="I214" s="30"/>
      <c r="J214" s="444"/>
      <c r="K214" s="444"/>
      <c r="L214" s="444"/>
      <c r="M214" s="444"/>
      <c r="N214" s="158"/>
      <c r="O214" s="447"/>
      <c r="P214" s="158"/>
      <c r="Q214" s="455"/>
      <c r="R214" s="101"/>
      <c r="S214" s="4"/>
    </row>
    <row r="215" s="2" customFormat="1" spans="1:19">
      <c r="A215" s="29"/>
      <c r="B215" s="30"/>
      <c r="C215" s="30"/>
      <c r="D215" s="30"/>
      <c r="E215" s="30"/>
      <c r="F215" s="30"/>
      <c r="G215" s="30"/>
      <c r="H215" s="30"/>
      <c r="I215" s="30"/>
      <c r="J215" s="136" t="s">
        <v>181</v>
      </c>
      <c r="K215" s="444"/>
      <c r="L215" s="444"/>
      <c r="M215" s="444"/>
      <c r="N215" s="446">
        <f>J190</f>
        <v>0.0776215867520899</v>
      </c>
      <c r="O215" s="171"/>
      <c r="P215" s="446" t="e">
        <f>N190</f>
        <v>#DIV/0!</v>
      </c>
      <c r="Q215" s="454"/>
      <c r="R215" s="101"/>
      <c r="S215" s="4"/>
    </row>
    <row r="216" s="2" customFormat="1" spans="1:19">
      <c r="A216" s="29"/>
      <c r="B216" s="30"/>
      <c r="C216" s="30"/>
      <c r="D216" s="30"/>
      <c r="E216" s="30"/>
      <c r="F216" s="30"/>
      <c r="G216" s="30"/>
      <c r="H216" s="30"/>
      <c r="I216" s="30"/>
      <c r="J216" s="444"/>
      <c r="K216" s="444"/>
      <c r="L216" s="444"/>
      <c r="M216" s="444"/>
      <c r="N216" s="158"/>
      <c r="O216" s="447"/>
      <c r="P216" s="158"/>
      <c r="Q216" s="455"/>
      <c r="R216" s="101"/>
      <c r="S216" s="4"/>
    </row>
    <row r="217" s="2" customFormat="1" spans="1:19">
      <c r="A217" s="29"/>
      <c r="B217" s="30"/>
      <c r="C217" s="30"/>
      <c r="D217" s="30"/>
      <c r="E217" s="30"/>
      <c r="F217" s="30"/>
      <c r="G217" s="30"/>
      <c r="H217" s="30"/>
      <c r="I217" s="30"/>
      <c r="J217" s="444"/>
      <c r="K217" s="444"/>
      <c r="L217" s="444"/>
      <c r="M217" s="444"/>
      <c r="N217" s="30"/>
      <c r="O217" s="30"/>
      <c r="P217" s="30"/>
      <c r="Q217" s="187"/>
      <c r="R217" s="101"/>
      <c r="S217" s="4"/>
    </row>
    <row r="218" s="2" customFormat="1" spans="1:19">
      <c r="A218" s="29"/>
      <c r="B218" s="30"/>
      <c r="C218" s="30"/>
      <c r="D218" s="30"/>
      <c r="E218" s="30"/>
      <c r="F218" s="30"/>
      <c r="G218" s="30"/>
      <c r="H218" s="30"/>
      <c r="I218" s="30"/>
      <c r="J218" s="30"/>
      <c r="K218" s="30"/>
      <c r="L218" s="30"/>
      <c r="M218" s="30"/>
      <c r="N218" s="30"/>
      <c r="O218" s="30"/>
      <c r="P218" s="30"/>
      <c r="Q218" s="187"/>
      <c r="R218" s="101"/>
      <c r="S218" s="4"/>
    </row>
    <row r="219" s="2" customFormat="1" spans="1:19">
      <c r="A219" s="29"/>
      <c r="B219" s="30"/>
      <c r="C219" s="30"/>
      <c r="D219" s="30"/>
      <c r="E219" s="30"/>
      <c r="F219" s="30"/>
      <c r="G219" s="30"/>
      <c r="H219" s="30"/>
      <c r="I219" s="30"/>
      <c r="J219" s="30"/>
      <c r="K219" s="30"/>
      <c r="L219" s="30"/>
      <c r="M219" s="30"/>
      <c r="N219" s="30" t="str">
        <f>IF(AND(N213&lt;0.1,P213&lt;0.1),"良好Excellent",IF(OR(N213&gt;0.3,P213&gt;0.3),"需改善Must be improved","可接收Accepted"))</f>
        <v>可接收Accepted</v>
      </c>
      <c r="O219" s="30"/>
      <c r="P219" s="30"/>
      <c r="Q219" s="187"/>
      <c r="R219" s="101"/>
      <c r="S219" s="4"/>
    </row>
    <row r="220" s="2" customFormat="1" spans="1:19">
      <c r="A220" s="29"/>
      <c r="B220" s="30"/>
      <c r="C220" s="30"/>
      <c r="D220" s="30"/>
      <c r="E220" s="30"/>
      <c r="F220" s="30"/>
      <c r="G220" s="30"/>
      <c r="H220" s="30"/>
      <c r="I220" s="30"/>
      <c r="J220" s="30"/>
      <c r="K220" s="30"/>
      <c r="L220" s="30"/>
      <c r="M220" s="30"/>
      <c r="N220" s="30" t="e">
        <f>IF(AND(N215&lt;0.1,P215&lt;0.1),"良好Excellent",IF(OR(N215&gt;0.3,P215&gt;0.3),"需改善Must be improved","可接收Accepted"))</f>
        <v>#DIV/0!</v>
      </c>
      <c r="O220" s="30"/>
      <c r="P220" s="30"/>
      <c r="Q220" s="187"/>
      <c r="R220" s="101"/>
      <c r="S220" s="4"/>
    </row>
    <row r="221" s="2" customFormat="1" ht="13.5" customHeight="1" spans="1:19">
      <c r="A221" s="232"/>
      <c r="B221" s="37"/>
      <c r="C221" s="37"/>
      <c r="D221" s="37"/>
      <c r="E221" s="37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31"/>
      <c r="R221" s="101"/>
      <c r="S221" s="4"/>
    </row>
    <row r="222" s="2" customFormat="1" ht="1.5" customHeight="1" spans="1:19">
      <c r="A222" s="39"/>
      <c r="B222" s="41"/>
      <c r="C222" s="41"/>
      <c r="D222" s="41"/>
      <c r="E222" s="41"/>
      <c r="F222" s="41"/>
      <c r="G222" s="41"/>
      <c r="H222" s="41"/>
      <c r="I222" s="41"/>
      <c r="J222" s="41"/>
      <c r="K222" s="41"/>
      <c r="L222" s="41"/>
      <c r="M222" s="41"/>
      <c r="N222" s="41"/>
      <c r="O222" s="41"/>
      <c r="P222" s="41"/>
      <c r="Q222" s="332"/>
      <c r="R222" s="101"/>
      <c r="S222" s="4"/>
    </row>
    <row r="223" s="2" customFormat="1" ht="26.25" customHeight="1" spans="1:19">
      <c r="A223" s="22" t="s">
        <v>182</v>
      </c>
      <c r="B223" s="136"/>
      <c r="C223" s="136"/>
      <c r="D223" s="136"/>
      <c r="E223" s="434" t="s">
        <v>183</v>
      </c>
      <c r="F223" s="434"/>
      <c r="G223" s="434"/>
      <c r="H223" s="434"/>
      <c r="I223" s="448"/>
      <c r="J223" s="449" t="s">
        <v>184</v>
      </c>
      <c r="K223" s="450" t="str">
        <f>IF(E223="基于零件变差Base on parts variation",N219,IF(E223="基于公差Base on parts spec",N220,"选择分析方法Choose the analysis method"))</f>
        <v>可接收Accepted</v>
      </c>
      <c r="L223" s="450"/>
      <c r="M223" s="450"/>
      <c r="N223" s="450"/>
      <c r="O223" s="450"/>
      <c r="P223" s="450"/>
      <c r="Q223" s="456"/>
      <c r="R223" s="101"/>
      <c r="S223" s="4"/>
    </row>
    <row r="224" s="2" customFormat="1" ht="1.5" customHeight="1" spans="1:19">
      <c r="A224" s="435"/>
      <c r="B224" s="36"/>
      <c r="C224" s="36"/>
      <c r="D224" s="436"/>
      <c r="E224" s="436"/>
      <c r="F224" s="436"/>
      <c r="G224" s="436"/>
      <c r="H224" s="436"/>
      <c r="I224" s="436"/>
      <c r="J224" s="436"/>
      <c r="K224" s="436"/>
      <c r="L224" s="436"/>
      <c r="M224" s="436"/>
      <c r="N224" s="436"/>
      <c r="O224" s="451"/>
      <c r="P224" s="451"/>
      <c r="Q224" s="457"/>
      <c r="R224" s="101"/>
      <c r="S224" s="4"/>
    </row>
    <row r="225" s="2" customFormat="1" ht="16.5" customHeight="1" spans="1:19">
      <c r="A225" s="43" t="s">
        <v>145</v>
      </c>
      <c r="B225" s="44"/>
      <c r="C225" s="44"/>
      <c r="D225" s="273"/>
      <c r="E225" s="437"/>
      <c r="F225" s="438"/>
      <c r="G225" s="438"/>
      <c r="H225" s="438"/>
      <c r="I225" s="438"/>
      <c r="J225" s="438"/>
      <c r="K225" s="438"/>
      <c r="L225" s="438"/>
      <c r="M225" s="438"/>
      <c r="N225" s="438"/>
      <c r="O225" s="438"/>
      <c r="P225" s="438"/>
      <c r="Q225" s="458"/>
      <c r="R225" s="101"/>
      <c r="S225" s="4"/>
    </row>
    <row r="226" s="2" customFormat="1" ht="16.5" customHeight="1" spans="1:19">
      <c r="A226" s="347"/>
      <c r="B226" s="348"/>
      <c r="C226" s="348"/>
      <c r="D226" s="349"/>
      <c r="E226" s="350"/>
      <c r="F226" s="351"/>
      <c r="G226" s="351"/>
      <c r="H226" s="351"/>
      <c r="I226" s="351"/>
      <c r="J226" s="351"/>
      <c r="K226" s="351"/>
      <c r="L226" s="351"/>
      <c r="M226" s="351"/>
      <c r="N226" s="351"/>
      <c r="O226" s="351"/>
      <c r="P226" s="351"/>
      <c r="Q226" s="423"/>
      <c r="R226" s="101"/>
      <c r="S226" s="4"/>
    </row>
    <row r="227" s="2" customFormat="1" ht="21.75" customHeight="1" spans="1:19">
      <c r="A227" s="352"/>
      <c r="B227" s="13"/>
      <c r="C227" s="353" t="s">
        <v>146</v>
      </c>
      <c r="D227" s="13"/>
      <c r="E227" s="354"/>
      <c r="F227" s="354"/>
      <c r="G227" s="354"/>
      <c r="H227" s="439" t="s">
        <v>147</v>
      </c>
      <c r="I227" s="439"/>
      <c r="J227" s="452"/>
      <c r="K227" s="452"/>
      <c r="L227" s="452"/>
      <c r="M227" s="452"/>
      <c r="N227" s="452"/>
      <c r="O227" s="452"/>
      <c r="P227" s="452"/>
      <c r="Q227" s="459"/>
      <c r="R227" s="101"/>
      <c r="S227" s="4"/>
    </row>
  </sheetData>
  <sheetProtection password="D03B" sheet="1" selectLockedCells="1" objects="1" scenarios="1"/>
  <mergeCells count="303">
    <mergeCell ref="A1:Q1"/>
    <mergeCell ref="A2:Q2"/>
    <mergeCell ref="L4:O4"/>
    <mergeCell ref="P4:Q4"/>
    <mergeCell ref="A7:D7"/>
    <mergeCell ref="E7:F7"/>
    <mergeCell ref="G7:H7"/>
    <mergeCell ref="I7:J7"/>
    <mergeCell ref="K7:L7"/>
    <mergeCell ref="M7:N7"/>
    <mergeCell ref="O7:P7"/>
    <mergeCell ref="A9:D9"/>
    <mergeCell ref="E9:F9"/>
    <mergeCell ref="G9:H9"/>
    <mergeCell ref="I9:J9"/>
    <mergeCell ref="K9:L9"/>
    <mergeCell ref="M9:N9"/>
    <mergeCell ref="O9:P9"/>
    <mergeCell ref="A10:D10"/>
    <mergeCell ref="A11:D11"/>
    <mergeCell ref="E11:F11"/>
    <mergeCell ref="G11:H11"/>
    <mergeCell ref="K11:L11"/>
    <mergeCell ref="M11:N11"/>
    <mergeCell ref="O11:P11"/>
    <mergeCell ref="A12:D12"/>
    <mergeCell ref="A13:D13"/>
    <mergeCell ref="E13:F13"/>
    <mergeCell ref="G13:H13"/>
    <mergeCell ref="J13:L13"/>
    <mergeCell ref="M13:N13"/>
    <mergeCell ref="O13:P13"/>
    <mergeCell ref="A16:F16"/>
    <mergeCell ref="O16:Q16"/>
    <mergeCell ref="A18:D18"/>
    <mergeCell ref="P18:Q18"/>
    <mergeCell ref="P19:Q19"/>
    <mergeCell ref="P20:Q20"/>
    <mergeCell ref="P21:Q21"/>
    <mergeCell ref="P25:Q25"/>
    <mergeCell ref="P26:Q26"/>
    <mergeCell ref="P27:Q27"/>
    <mergeCell ref="P31:Q31"/>
    <mergeCell ref="P32:Q32"/>
    <mergeCell ref="P33:Q33"/>
    <mergeCell ref="A37:D37"/>
    <mergeCell ref="A38:D38"/>
    <mergeCell ref="A39:D39"/>
    <mergeCell ref="M39:N39"/>
    <mergeCell ref="B40:D40"/>
    <mergeCell ref="I40:J40"/>
    <mergeCell ref="B41:D41"/>
    <mergeCell ref="B42:D42"/>
    <mergeCell ref="A43:Q43"/>
    <mergeCell ref="F54:G54"/>
    <mergeCell ref="J54:K54"/>
    <mergeCell ref="N54:O54"/>
    <mergeCell ref="F55:G55"/>
    <mergeCell ref="J55:K55"/>
    <mergeCell ref="N55:O55"/>
    <mergeCell ref="F56:G56"/>
    <mergeCell ref="J56:K56"/>
    <mergeCell ref="N56:O56"/>
    <mergeCell ref="F57:G57"/>
    <mergeCell ref="J57:K57"/>
    <mergeCell ref="N57:O57"/>
    <mergeCell ref="F58:G58"/>
    <mergeCell ref="J58:K58"/>
    <mergeCell ref="N58:O58"/>
    <mergeCell ref="F59:G59"/>
    <mergeCell ref="J59:K59"/>
    <mergeCell ref="N59:O59"/>
    <mergeCell ref="H61:J61"/>
    <mergeCell ref="L61:N61"/>
    <mergeCell ref="C62:F62"/>
    <mergeCell ref="I62:J62"/>
    <mergeCell ref="O62:P62"/>
    <mergeCell ref="D63:J63"/>
    <mergeCell ref="K63:Q63"/>
    <mergeCell ref="K65:L65"/>
    <mergeCell ref="D66:E66"/>
    <mergeCell ref="K66:L66"/>
    <mergeCell ref="D67:E67"/>
    <mergeCell ref="K67:L67"/>
    <mergeCell ref="D68:E68"/>
    <mergeCell ref="K68:L68"/>
    <mergeCell ref="K69:L69"/>
    <mergeCell ref="D70:J70"/>
    <mergeCell ref="K70:Q70"/>
    <mergeCell ref="D72:E72"/>
    <mergeCell ref="K72:L72"/>
    <mergeCell ref="D73:E73"/>
    <mergeCell ref="K73:L73"/>
    <mergeCell ref="D74:E74"/>
    <mergeCell ref="K74:L74"/>
    <mergeCell ref="D75:E75"/>
    <mergeCell ref="K75:L75"/>
    <mergeCell ref="D76:E76"/>
    <mergeCell ref="K76:L76"/>
    <mergeCell ref="D77:E77"/>
    <mergeCell ref="K77:L77"/>
    <mergeCell ref="D78:E78"/>
    <mergeCell ref="K78:L78"/>
    <mergeCell ref="A80:Q80"/>
    <mergeCell ref="A81:Q81"/>
    <mergeCell ref="A83:D83"/>
    <mergeCell ref="L83:O83"/>
    <mergeCell ref="P83:Q83"/>
    <mergeCell ref="A86:D86"/>
    <mergeCell ref="E86:F86"/>
    <mergeCell ref="G86:H86"/>
    <mergeCell ref="I86:J86"/>
    <mergeCell ref="K86:L86"/>
    <mergeCell ref="M86:N86"/>
    <mergeCell ref="A88:D88"/>
    <mergeCell ref="E88:F88"/>
    <mergeCell ref="G88:H88"/>
    <mergeCell ref="I88:J88"/>
    <mergeCell ref="K88:L88"/>
    <mergeCell ref="M88:N88"/>
    <mergeCell ref="A89:D89"/>
    <mergeCell ref="A90:D90"/>
    <mergeCell ref="E90:F90"/>
    <mergeCell ref="G90:H90"/>
    <mergeCell ref="K90:L90"/>
    <mergeCell ref="M90:N90"/>
    <mergeCell ref="A91:D91"/>
    <mergeCell ref="A92:D92"/>
    <mergeCell ref="E92:F92"/>
    <mergeCell ref="G92:H92"/>
    <mergeCell ref="J92:L92"/>
    <mergeCell ref="M92:N92"/>
    <mergeCell ref="A94:D94"/>
    <mergeCell ref="M95:Q95"/>
    <mergeCell ref="B96:K96"/>
    <mergeCell ref="L96:Q96"/>
    <mergeCell ref="N98:P98"/>
    <mergeCell ref="C99:E99"/>
    <mergeCell ref="N99:P99"/>
    <mergeCell ref="N103:P103"/>
    <mergeCell ref="C104:E104"/>
    <mergeCell ref="N104:P104"/>
    <mergeCell ref="N108:P108"/>
    <mergeCell ref="C109:E109"/>
    <mergeCell ref="N109:P109"/>
    <mergeCell ref="G113:H113"/>
    <mergeCell ref="N113:P113"/>
    <mergeCell ref="C114:E114"/>
    <mergeCell ref="N114:P114"/>
    <mergeCell ref="L117:Q117"/>
    <mergeCell ref="H118:K118"/>
    <mergeCell ref="N118:P118"/>
    <mergeCell ref="C119:E119"/>
    <mergeCell ref="H119:K119"/>
    <mergeCell ref="N119:P119"/>
    <mergeCell ref="H120:K120"/>
    <mergeCell ref="H121:K121"/>
    <mergeCell ref="A123:K123"/>
    <mergeCell ref="A124:K124"/>
    <mergeCell ref="A125:K125"/>
    <mergeCell ref="A126:K126"/>
    <mergeCell ref="E127:Q127"/>
    <mergeCell ref="E128:Q128"/>
    <mergeCell ref="E129:Q129"/>
    <mergeCell ref="E130:G130"/>
    <mergeCell ref="I130:Q130"/>
    <mergeCell ref="E131:G131"/>
    <mergeCell ref="A166:Q166"/>
    <mergeCell ref="A167:Q167"/>
    <mergeCell ref="A169:D169"/>
    <mergeCell ref="M169:O169"/>
    <mergeCell ref="P169:Q169"/>
    <mergeCell ref="A172:D172"/>
    <mergeCell ref="E172:F172"/>
    <mergeCell ref="G172:H172"/>
    <mergeCell ref="I172:J172"/>
    <mergeCell ref="K172:L172"/>
    <mergeCell ref="M172:N172"/>
    <mergeCell ref="A174:D174"/>
    <mergeCell ref="E174:F174"/>
    <mergeCell ref="G174:H174"/>
    <mergeCell ref="I174:J174"/>
    <mergeCell ref="K174:L174"/>
    <mergeCell ref="M174:N174"/>
    <mergeCell ref="A175:D175"/>
    <mergeCell ref="A176:D176"/>
    <mergeCell ref="E176:F176"/>
    <mergeCell ref="G176:H176"/>
    <mergeCell ref="K176:L176"/>
    <mergeCell ref="M176:N176"/>
    <mergeCell ref="A177:D177"/>
    <mergeCell ref="A178:D178"/>
    <mergeCell ref="E178:F178"/>
    <mergeCell ref="G178:H178"/>
    <mergeCell ref="J178:L178"/>
    <mergeCell ref="M178:N178"/>
    <mergeCell ref="B181:D181"/>
    <mergeCell ref="F181:H181"/>
    <mergeCell ref="B182:E182"/>
    <mergeCell ref="F182:G182"/>
    <mergeCell ref="H182:I182"/>
    <mergeCell ref="J182:K182"/>
    <mergeCell ref="L182:M182"/>
    <mergeCell ref="B183:E183"/>
    <mergeCell ref="F183:G183"/>
    <mergeCell ref="H183:I183"/>
    <mergeCell ref="J183:K183"/>
    <mergeCell ref="L183:M183"/>
    <mergeCell ref="B184:E184"/>
    <mergeCell ref="F184:G184"/>
    <mergeCell ref="H184:I184"/>
    <mergeCell ref="J184:K184"/>
    <mergeCell ref="L184:M184"/>
    <mergeCell ref="B185:E185"/>
    <mergeCell ref="F185:G185"/>
    <mergeCell ref="H185:I185"/>
    <mergeCell ref="J185:K185"/>
    <mergeCell ref="L185:M185"/>
    <mergeCell ref="B186:E186"/>
    <mergeCell ref="F186:G186"/>
    <mergeCell ref="H186:I186"/>
    <mergeCell ref="J186:K186"/>
    <mergeCell ref="L186:M186"/>
    <mergeCell ref="B187:E187"/>
    <mergeCell ref="F187:G187"/>
    <mergeCell ref="H187:I187"/>
    <mergeCell ref="J187:K187"/>
    <mergeCell ref="L187:M187"/>
    <mergeCell ref="B189:E189"/>
    <mergeCell ref="F189:G189"/>
    <mergeCell ref="H189:I189"/>
    <mergeCell ref="J189:K189"/>
    <mergeCell ref="L189:M189"/>
    <mergeCell ref="N189:O189"/>
    <mergeCell ref="B190:E190"/>
    <mergeCell ref="F190:G190"/>
    <mergeCell ref="H190:I190"/>
    <mergeCell ref="J190:K190"/>
    <mergeCell ref="L190:M190"/>
    <mergeCell ref="N190:O190"/>
    <mergeCell ref="B191:E191"/>
    <mergeCell ref="F191:G191"/>
    <mergeCell ref="H191:I191"/>
    <mergeCell ref="J191:K191"/>
    <mergeCell ref="L191:M191"/>
    <mergeCell ref="N191:O191"/>
    <mergeCell ref="B192:E192"/>
    <mergeCell ref="F192:G192"/>
    <mergeCell ref="H192:I192"/>
    <mergeCell ref="J192:K192"/>
    <mergeCell ref="L192:M192"/>
    <mergeCell ref="N192:O192"/>
    <mergeCell ref="B193:E193"/>
    <mergeCell ref="F193:G193"/>
    <mergeCell ref="H193:I193"/>
    <mergeCell ref="J193:K193"/>
    <mergeCell ref="L193:M193"/>
    <mergeCell ref="N193:O193"/>
    <mergeCell ref="B194:E194"/>
    <mergeCell ref="F194:G194"/>
    <mergeCell ref="H194:I194"/>
    <mergeCell ref="J194:K194"/>
    <mergeCell ref="L194:M194"/>
    <mergeCell ref="N194:O194"/>
    <mergeCell ref="B195:E195"/>
    <mergeCell ref="F195:G195"/>
    <mergeCell ref="H195:I195"/>
    <mergeCell ref="J195:K195"/>
    <mergeCell ref="L195:M195"/>
    <mergeCell ref="N195:O195"/>
    <mergeCell ref="B196:E196"/>
    <mergeCell ref="F196:G196"/>
    <mergeCell ref="H196:I196"/>
    <mergeCell ref="J196:K196"/>
    <mergeCell ref="L196:M196"/>
    <mergeCell ref="N196:O196"/>
    <mergeCell ref="C199:J199"/>
    <mergeCell ref="M199:N199"/>
    <mergeCell ref="C200:G200"/>
    <mergeCell ref="N212:O212"/>
    <mergeCell ref="P212:Q212"/>
    <mergeCell ref="A223:D223"/>
    <mergeCell ref="E223:H223"/>
    <mergeCell ref="K223:Q223"/>
    <mergeCell ref="E225:Q225"/>
    <mergeCell ref="E226:Q226"/>
    <mergeCell ref="E227:G227"/>
    <mergeCell ref="H227:I227"/>
    <mergeCell ref="A225:D226"/>
    <mergeCell ref="J215:M217"/>
    <mergeCell ref="N215:O216"/>
    <mergeCell ref="P215:Q216"/>
    <mergeCell ref="J212:M214"/>
    <mergeCell ref="N213:O214"/>
    <mergeCell ref="P213:Q214"/>
    <mergeCell ref="N182:O184"/>
    <mergeCell ref="A127:D129"/>
    <mergeCell ref="L123:M124"/>
    <mergeCell ref="N123:P124"/>
    <mergeCell ref="M125:Q126"/>
    <mergeCell ref="G115:I116"/>
    <mergeCell ref="A62:B78"/>
    <mergeCell ref="A44:B61"/>
  </mergeCells>
  <conditionalFormatting sqref="E33:N33">
    <cfRule type="expression" dxfId="0" priority="4">
      <formula>AND($Q$9=3,$Q$11=3)</formula>
    </cfRule>
  </conditionalFormatting>
  <conditionalFormatting sqref="F101">
    <cfRule type="cellIs" dxfId="1" priority="9" stopIfTrue="1" operator="equal">
      <formula>"需改善Must be improved"</formula>
    </cfRule>
  </conditionalFormatting>
  <conditionalFormatting sqref="E19:N20 E25:N26">
    <cfRule type="expression" dxfId="0" priority="3">
      <formula>OR(AND($Q$9=2,$Q$11=2),AND($Q$9=3,$Q$11=2),AND($Q$9=2,$Q$11=3),AND($Q$9=3,$Q$11=3))</formula>
    </cfRule>
  </conditionalFormatting>
  <conditionalFormatting sqref="E21:N21 E27:N27">
    <cfRule type="expression" dxfId="0" priority="2">
      <formula>AND($Q$11=3,OR($Q$9=2,$Q$9=3))</formula>
    </cfRule>
  </conditionalFormatting>
  <conditionalFormatting sqref="E31:N32">
    <cfRule type="expression" dxfId="0" priority="1">
      <formula>AND($Q$9=3,OR($Q$11=2,$Q$11=3))</formula>
    </cfRule>
  </conditionalFormatting>
  <conditionalFormatting sqref="N123:P124">
    <cfRule type="cellIs" dxfId="1" priority="10" stopIfTrue="1" operator="equal">
      <formula>"需改善Must be improved"</formula>
    </cfRule>
    <cfRule type="cellIs" dxfId="2" priority="11" stopIfTrue="1" operator="equal">
      <formula>"良好Excellent"</formula>
    </cfRule>
  </conditionalFormatting>
  <conditionalFormatting sqref="D161:J164">
    <cfRule type="expression" dxfId="3" priority="5" stopIfTrue="1">
      <formula>OR($H$35=0.25,$H$35&lt;0.25)</formula>
    </cfRule>
  </conditionalFormatting>
  <conditionalFormatting sqref="D224:N224 E223 I223:K223">
    <cfRule type="cellIs" dxfId="1" priority="6" stopIfTrue="1" operator="equal">
      <formula>"需改善Must be improved"</formula>
    </cfRule>
    <cfRule type="cellIs" dxfId="4" priority="7" stopIfTrue="1" operator="equal">
      <formula>"良好Excellent"</formula>
    </cfRule>
    <cfRule type="cellIs" dxfId="5" priority="8" stopIfTrue="1" operator="equal">
      <formula>"可接收Accepted"</formula>
    </cfRule>
  </conditionalFormatting>
  <dataValidations count="8">
    <dataValidation type="list" allowBlank="1" showInputMessage="1" showErrorMessage="1" sqref="Q9">
      <formula1>"2,3,? "</formula1>
    </dataValidation>
    <dataValidation type="list" allowBlank="1" showInputMessage="1" showErrorMessage="1" sqref="Q11">
      <formula1>"2,3,?"</formula1>
    </dataValidation>
    <dataValidation type="custom" showInputMessage="1" showErrorMessage="1" error="试验次数设定为 2次。" sqref="E21:N21 E27:N27">
      <formula1>$Q$11=3</formula1>
    </dataValidation>
    <dataValidation type="custom" allowBlank="1" showInputMessage="1" showErrorMessage="1" error="分析设定为2人，或2次" sqref="E33:N33">
      <formula1>AND($Q$11=3,$Q$9=3)</formula1>
    </dataValidation>
    <dataValidation type="list" allowBlank="1" showInputMessage="1" showErrorMessage="1" sqref="M95:Q95">
      <formula1>"基于公差base on parts spec,基于零件变差base on parts variation,基于过程变差base on process variation,基于过程能力Base on process PP,?"</formula1>
    </dataValidation>
    <dataValidation type="list" allowBlank="1" showInputMessage="1" showErrorMessage="1" sqref="G113:H113">
      <formula1>"公式A Formula A,公式B Formula B"</formula1>
    </dataValidation>
    <dataValidation type="list" allowBlank="1" showInputMessage="1" showErrorMessage="1" sqref="E223:H223">
      <formula1>"基于零件变差Base on parts variation,基于公差Base on parts spec,？"</formula1>
    </dataValidation>
    <dataValidation type="custom" allowBlank="1" showInputMessage="1" showErrorMessage="1" error="分析设定为2人" sqref="E31:N32">
      <formula1>$Q$9=3</formula1>
    </dataValidation>
  </dataValidations>
  <pageMargins left="0.472222222222222" right="0.236111111111111" top="0.590277777777778" bottom="0.747916666666667" header="0.511805555555556" footer="0.472222222222222"/>
  <pageSetup paperSize="9" scale="95" orientation="portrait" verticalDpi="1200"/>
  <headerFooter alignWithMargins="0">
    <oddFooter>&amp;LPage&amp;"宋体,常规"：&amp;"Arial,常规"&amp;P/&amp;N</oddFooter>
  </headerFooter>
  <drawing r:id="rId2"/>
  <legacyDrawing r:id="rId3"/>
  <oleObjects>
    <mc:AlternateContent xmlns:mc="http://schemas.openxmlformats.org/markup-compatibility/2006">
      <mc:Choice Requires="x14">
        <oleObject shapeId="11269" progId="Equation.3" r:id="rId8">
          <objectPr defaultSize="0" r:id="rId9">
            <anchor moveWithCells="1" sizeWithCells="1">
              <from>
                <xdr:col>6</xdr:col>
                <xdr:colOff>400050</xdr:colOff>
                <xdr:row>93</xdr:row>
                <xdr:rowOff>38100</xdr:rowOff>
              </from>
              <to>
                <xdr:col>8</xdr:col>
                <xdr:colOff>28575</xdr:colOff>
                <xdr:row>93</xdr:row>
                <xdr:rowOff>200025</xdr:rowOff>
              </to>
            </anchor>
          </objectPr>
        </oleObject>
      </mc:Choice>
      <mc:Fallback>
        <oleObject shapeId="11269" progId="Equation.3" r:id="rId8"/>
      </mc:Fallback>
    </mc:AlternateContent>
    <mc:AlternateContent xmlns:mc="http://schemas.openxmlformats.org/markup-compatibility/2006">
      <mc:Choice Requires="x14">
        <oleObject shapeId="11270" progId="Equation.3" r:id="rId10">
          <objectPr defaultSize="0" r:id="rId11">
            <anchor moveWithCells="1" sizeWithCells="1">
              <from>
                <xdr:col>1</xdr:col>
                <xdr:colOff>47625</xdr:colOff>
                <xdr:row>112</xdr:row>
                <xdr:rowOff>9525</xdr:rowOff>
              </from>
              <to>
                <xdr:col>3</xdr:col>
                <xdr:colOff>295275</xdr:colOff>
                <xdr:row>113</xdr:row>
                <xdr:rowOff>28575</xdr:rowOff>
              </to>
            </anchor>
          </objectPr>
        </oleObject>
      </mc:Choice>
      <mc:Fallback>
        <oleObject shapeId="11270" progId="Equation.3" r:id="rId10"/>
      </mc:Fallback>
    </mc:AlternateContent>
    <mc:AlternateContent xmlns:mc="http://schemas.openxmlformats.org/markup-compatibility/2006">
      <mc:Choice Requires="x14">
        <oleObject shapeId="11271" progId="Equation.3" r:id="rId12">
          <objectPr defaultSize="0" r:id="rId13">
            <anchor moveWithCells="1" sizeWithCells="1">
              <from>
                <xdr:col>4</xdr:col>
                <xdr:colOff>57150</xdr:colOff>
                <xdr:row>118</xdr:row>
                <xdr:rowOff>180975</xdr:rowOff>
              </from>
              <to>
                <xdr:col>5</xdr:col>
                <xdr:colOff>371475</xdr:colOff>
                <xdr:row>119</xdr:row>
                <xdr:rowOff>133350</xdr:rowOff>
              </to>
            </anchor>
          </objectPr>
        </oleObject>
      </mc:Choice>
      <mc:Fallback>
        <oleObject shapeId="11271" progId="Equation.3" r:id="rId12"/>
      </mc:Fallback>
    </mc:AlternateContent>
    <mc:AlternateContent xmlns:mc="http://schemas.openxmlformats.org/markup-compatibility/2006">
      <mc:Choice Requires="x14">
        <oleObject shapeId="11272" progId="Equation.3" r:id="rId14">
          <objectPr defaultSize="0" r:id="rId15">
            <anchor moveWithCells="1" sizeWithCells="1">
              <from>
                <xdr:col>4</xdr:col>
                <xdr:colOff>57150</xdr:colOff>
                <xdr:row>118</xdr:row>
                <xdr:rowOff>38100</xdr:rowOff>
              </from>
              <to>
                <xdr:col>5</xdr:col>
                <xdr:colOff>171450</xdr:colOff>
                <xdr:row>119</xdr:row>
                <xdr:rowOff>9525</xdr:rowOff>
              </to>
            </anchor>
          </objectPr>
        </oleObject>
      </mc:Choice>
      <mc:Fallback>
        <oleObject shapeId="11272" progId="Equation.3" r:id="rId14"/>
      </mc:Fallback>
    </mc:AlternateContent>
    <mc:AlternateContent xmlns:mc="http://schemas.openxmlformats.org/markup-compatibility/2006">
      <mc:Choice Requires="x14">
        <oleObject shapeId="11273" progId="Equation.3" r:id="rId16">
          <objectPr defaultSize="0" r:id="rId17">
            <anchor moveWithCells="1" sizeWithCells="1">
              <from>
                <xdr:col>4</xdr:col>
                <xdr:colOff>57150</xdr:colOff>
                <xdr:row>116</xdr:row>
                <xdr:rowOff>123825</xdr:rowOff>
              </from>
              <to>
                <xdr:col>6</xdr:col>
                <xdr:colOff>304800</xdr:colOff>
                <xdr:row>118</xdr:row>
                <xdr:rowOff>28575</xdr:rowOff>
              </to>
            </anchor>
          </objectPr>
        </oleObject>
      </mc:Choice>
      <mc:Fallback>
        <oleObject shapeId="11273" progId="Equation.3" r:id="rId16"/>
      </mc:Fallback>
    </mc:AlternateContent>
    <mc:AlternateContent xmlns:mc="http://schemas.openxmlformats.org/markup-compatibility/2006">
      <mc:Choice Requires="x14">
        <oleObject shapeId="11274" progId="Equation.3" r:id="rId18">
          <objectPr defaultSize="0" r:id="rId19">
            <anchor moveWithCells="1" sizeWithCells="1">
              <from>
                <xdr:col>3</xdr:col>
                <xdr:colOff>104775</xdr:colOff>
                <xdr:row>38</xdr:row>
                <xdr:rowOff>57150</xdr:rowOff>
              </from>
              <to>
                <xdr:col>7</xdr:col>
                <xdr:colOff>400050</xdr:colOff>
                <xdr:row>39</xdr:row>
                <xdr:rowOff>28575</xdr:rowOff>
              </to>
            </anchor>
          </objectPr>
        </oleObject>
      </mc:Choice>
      <mc:Fallback>
        <oleObject shapeId="11274" progId="Equation.3" r:id="rId18"/>
      </mc:Fallback>
    </mc:AlternateContent>
    <mc:AlternateContent xmlns:mc="http://schemas.openxmlformats.org/markup-compatibility/2006">
      <mc:Choice Requires="x14">
        <oleObject shapeId="11275" progId="Equation.3" r:id="rId20">
          <objectPr defaultSize="0" r:id="rId21">
            <anchor moveWithCells="1" sizeWithCells="1">
              <from>
                <xdr:col>4</xdr:col>
                <xdr:colOff>66675</xdr:colOff>
                <xdr:row>119</xdr:row>
                <xdr:rowOff>152400</xdr:rowOff>
              </from>
              <to>
                <xdr:col>6</xdr:col>
                <xdr:colOff>171450</xdr:colOff>
                <xdr:row>120</xdr:row>
                <xdr:rowOff>152400</xdr:rowOff>
              </to>
            </anchor>
          </objectPr>
        </oleObject>
      </mc:Choice>
      <mc:Fallback>
        <oleObject shapeId="11275" progId="Equation.3" r:id="rId20"/>
      </mc:Fallback>
    </mc:AlternateContent>
    <mc:AlternateContent xmlns:mc="http://schemas.openxmlformats.org/markup-compatibility/2006">
      <mc:Choice Requires="x14">
        <oleObject shapeId="11276" progId="Equation.3" r:id="rId22">
          <objectPr defaultSize="0" r:id="rId23">
            <anchor moveWithCells="1" sizeWithCells="1">
              <from>
                <xdr:col>5</xdr:col>
                <xdr:colOff>361950</xdr:colOff>
                <xdr:row>113</xdr:row>
                <xdr:rowOff>47625</xdr:rowOff>
              </from>
              <to>
                <xdr:col>7</xdr:col>
                <xdr:colOff>152400</xdr:colOff>
                <xdr:row>114</xdr:row>
                <xdr:rowOff>104775</xdr:rowOff>
              </to>
            </anchor>
          </objectPr>
        </oleObject>
      </mc:Choice>
      <mc:Fallback>
        <oleObject shapeId="11276" progId="Equation.3" r:id="rId22"/>
      </mc:Fallback>
    </mc:AlternateContent>
    <mc:AlternateContent xmlns:mc="http://schemas.openxmlformats.org/markup-compatibility/2006">
      <mc:Choice Requires="x14">
        <oleObject shapeId="11277" progId="Equation.3" r:id="rId24">
          <objectPr defaultSize="0" r:id="rId25">
            <anchor moveWithCells="1" sizeWithCells="1">
              <from>
                <xdr:col>5</xdr:col>
                <xdr:colOff>361950</xdr:colOff>
                <xdr:row>114</xdr:row>
                <xdr:rowOff>57150</xdr:rowOff>
              </from>
              <to>
                <xdr:col>8</xdr:col>
                <xdr:colOff>38100</xdr:colOff>
                <xdr:row>115</xdr:row>
                <xdr:rowOff>85725</xdr:rowOff>
              </to>
            </anchor>
          </objectPr>
        </oleObject>
      </mc:Choice>
      <mc:Fallback>
        <oleObject shapeId="11277" progId="Equation.3" r:id="rId24"/>
      </mc:Fallback>
    </mc:AlternateContent>
  </oleObjects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name="Option Button 1" r:id="rId4">
              <controlPr defaultSize="0">
                <anchor moveWithCells="1" sizeWithCells="1">
                  <from>
                    <xdr:col>6</xdr:col>
                    <xdr:colOff>0</xdr:colOff>
                    <xdr:row>15</xdr:row>
                    <xdr:rowOff>0</xdr:rowOff>
                  </from>
                  <to>
                    <xdr:col>8</xdr:col>
                    <xdr:colOff>9525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name="Option Button 2" r:id="rId5">
              <controlPr defaultSize="0">
                <anchor moveWithCells="1" sizeWithCells="1">
                  <from>
                    <xdr:col>7</xdr:col>
                    <xdr:colOff>400050</xdr:colOff>
                    <xdr:row>15</xdr:row>
                    <xdr:rowOff>0</xdr:rowOff>
                  </from>
                  <to>
                    <xdr:col>9</xdr:col>
                    <xdr:colOff>257175</xdr:colOff>
                    <xdr:row>16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name="Option Button 3" r:id="rId6">
              <controlPr defaultSize="0">
                <anchor moveWithCells="1" sizeWithCells="1">
                  <from>
                    <xdr:col>10</xdr:col>
                    <xdr:colOff>66675</xdr:colOff>
                    <xdr:row>15</xdr:row>
                    <xdr:rowOff>19050</xdr:rowOff>
                  </from>
                  <to>
                    <xdr:col>11</xdr:col>
                    <xdr:colOff>171450</xdr:colOff>
                    <xdr:row>15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name="Option Button 4" r:id="rId7">
              <controlPr defaultSize="0">
                <anchor moveWithCells="1" sizeWithCells="1">
                  <from>
                    <xdr:col>12</xdr:col>
                    <xdr:colOff>38100</xdr:colOff>
                    <xdr:row>14</xdr:row>
                    <xdr:rowOff>19050</xdr:rowOff>
                  </from>
                  <to>
                    <xdr:col>13</xdr:col>
                    <xdr:colOff>400050</xdr:colOff>
                    <xdr:row>16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GR&amp;R（msa）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SZ-142</cp:lastModifiedBy>
  <dcterms:created xsi:type="dcterms:W3CDTF">2006-09-16T00:00:00Z</dcterms:created>
  <dcterms:modified xsi:type="dcterms:W3CDTF">2018-01-15T01:21:01Z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